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CALCULATOR\Tehno.ek.analiza\"/>
    </mc:Choice>
  </mc:AlternateContent>
  <xr:revisionPtr revIDLastSave="0" documentId="8_{65AC6E82-1943-440D-83DB-E4162CA4E2D9}" xr6:coauthVersionLast="47" xr6:coauthVersionMax="47" xr10:uidLastSave="{00000000-0000-0000-0000-000000000000}"/>
  <bookViews>
    <workbookView xWindow="28680" yWindow="-120" windowWidth="29040" windowHeight="15720" xr2:uid="{B989C2A3-6067-41D3-A05F-E7A632ECE6DA}"/>
  </bookViews>
  <sheets>
    <sheet name="ENERGETSKI KALKULATOR" sheetId="17" r:id="rId1"/>
    <sheet name="KALKULATOR" sheetId="13" r:id="rId2"/>
    <sheet name="UPUTSTVO" sheetId="18" r:id="rId3"/>
    <sheet name="SMERNICE PRI IZBORU MERA" sheetId="19" r:id="rId4"/>
    <sheet name="O KALKULATORU" sheetId="20" r:id="rId5"/>
    <sheet name="UNOS" sheetId="12" r:id="rId6"/>
    <sheet name="USTEDA" sheetId="15" r:id="rId7"/>
  </sheets>
  <definedNames>
    <definedName name="_xlnm._FilterDatabase" localSheetId="1" hidden="1">UNOS!$A$401:$G$401</definedName>
    <definedName name="_xlnm.Print_Area" localSheetId="0">'ENERGETSKI KALKULATOR'!$A$1:$I$51</definedName>
    <definedName name="_xlnm.Print_Area" localSheetId="5">UNOS!$A$1:$J$199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18" l="1"/>
  <c r="Q1" i="18"/>
  <c r="P1" i="19"/>
  <c r="Q1" i="19"/>
  <c r="P1" i="12"/>
  <c r="Q1" i="12"/>
  <c r="P1" i="13"/>
  <c r="Q1" i="13"/>
  <c r="P1" i="15"/>
  <c r="Q1" i="15"/>
  <c r="P1" i="17"/>
  <c r="Q1" i="17"/>
  <c r="A1" i="15"/>
  <c r="B1" i="15"/>
  <c r="A1" i="13"/>
  <c r="B1" i="13"/>
  <c r="A1" i="12"/>
  <c r="B1" i="12"/>
  <c r="A1" i="19"/>
  <c r="B1" i="19"/>
  <c r="A1" i="18"/>
  <c r="B1" i="18"/>
  <c r="A1" i="17"/>
  <c r="B1" i="17"/>
  <c r="E118" i="12"/>
  <c r="I118" i="12"/>
  <c r="H118" i="12"/>
  <c r="G118" i="12"/>
  <c r="F118" i="12"/>
  <c r="I119" i="12"/>
  <c r="F116" i="13" s="1"/>
  <c r="F120" i="12"/>
  <c r="F121" i="12"/>
  <c r="G120" i="12"/>
  <c r="D120" i="13" s="1"/>
  <c r="G121" i="12"/>
  <c r="H120" i="12"/>
  <c r="H121" i="12"/>
  <c r="I120" i="12"/>
  <c r="I121" i="12"/>
  <c r="H119" i="12"/>
  <c r="E116" i="13" s="1"/>
  <c r="G119" i="12"/>
  <c r="D116" i="13" s="1"/>
  <c r="F119" i="12"/>
  <c r="C116" i="13" s="1"/>
  <c r="E119" i="12"/>
  <c r="B116" i="13" s="1"/>
  <c r="H38" i="17"/>
  <c r="B292" i="13"/>
  <c r="E10" i="17"/>
  <c r="K21" i="12"/>
  <c r="L21" i="12" s="1"/>
  <c r="K22" i="12"/>
  <c r="B288" i="13" s="1"/>
  <c r="D26" i="15"/>
  <c r="E26" i="15"/>
  <c r="F26" i="15"/>
  <c r="G26" i="15"/>
  <c r="H26" i="15"/>
  <c r="I26" i="15"/>
  <c r="J26" i="15"/>
  <c r="K26" i="15"/>
  <c r="L26" i="15"/>
  <c r="B9" i="13"/>
  <c r="C31" i="13"/>
  <c r="C38" i="13"/>
  <c r="C39" i="13"/>
  <c r="C40" i="13"/>
  <c r="C41" i="13"/>
  <c r="C42" i="13"/>
  <c r="C43" i="13"/>
  <c r="C44" i="13"/>
  <c r="L52" i="13"/>
  <c r="Q52" i="13"/>
  <c r="R52" i="13"/>
  <c r="S52" i="13"/>
  <c r="L53" i="13"/>
  <c r="Q53" i="13"/>
  <c r="R53" i="13"/>
  <c r="S53" i="13"/>
  <c r="T53" i="13"/>
  <c r="L54" i="13"/>
  <c r="Q54" i="13"/>
  <c r="R54" i="13"/>
  <c r="S54" i="13"/>
  <c r="G55" i="13"/>
  <c r="L55" i="13"/>
  <c r="Q55" i="13"/>
  <c r="R55" i="13"/>
  <c r="S55" i="13"/>
  <c r="T55" i="13"/>
  <c r="L56" i="13"/>
  <c r="Q56" i="13"/>
  <c r="R56" i="13"/>
  <c r="S56" i="13"/>
  <c r="T56" i="13"/>
  <c r="G57" i="13"/>
  <c r="L57" i="13"/>
  <c r="Q57" i="13"/>
  <c r="R57" i="13"/>
  <c r="S57" i="13"/>
  <c r="G58" i="13"/>
  <c r="L58" i="13"/>
  <c r="Q58" i="13"/>
  <c r="R58" i="13"/>
  <c r="S58" i="13"/>
  <c r="T58" i="13"/>
  <c r="L59" i="13"/>
  <c r="Q59" i="13"/>
  <c r="R59" i="13"/>
  <c r="S59" i="13"/>
  <c r="T59" i="13"/>
  <c r="B73" i="13"/>
  <c r="B74" i="13"/>
  <c r="B81" i="13"/>
  <c r="B82" i="13"/>
  <c r="B88" i="13"/>
  <c r="B103" i="13"/>
  <c r="A109" i="13"/>
  <c r="B109" i="13"/>
  <c r="C109" i="13"/>
  <c r="D109" i="13"/>
  <c r="E109" i="13"/>
  <c r="F109" i="13"/>
  <c r="B110" i="13"/>
  <c r="B117" i="13"/>
  <c r="C110" i="13"/>
  <c r="C117" i="13" s="1"/>
  <c r="D110" i="13"/>
  <c r="D117" i="13" s="1"/>
  <c r="E110" i="13"/>
  <c r="E117" i="13" s="1"/>
  <c r="F110" i="13"/>
  <c r="F117" i="13"/>
  <c r="B168" i="13"/>
  <c r="B186" i="13"/>
  <c r="B205" i="13"/>
  <c r="K261" i="13"/>
  <c r="L261" i="13"/>
  <c r="M261" i="13"/>
  <c r="N261" i="13"/>
  <c r="O261" i="13"/>
  <c r="P261" i="13"/>
  <c r="Q261" i="13"/>
  <c r="R261" i="13"/>
  <c r="S261" i="13"/>
  <c r="T261" i="13"/>
  <c r="U261" i="13"/>
  <c r="V261" i="13"/>
  <c r="AD261" i="13"/>
  <c r="AD262" i="13"/>
  <c r="AD263" i="13"/>
  <c r="AD264" i="13"/>
  <c r="AD265" i="13"/>
  <c r="AD266" i="13"/>
  <c r="K267" i="13"/>
  <c r="L267" i="13"/>
  <c r="M267" i="13"/>
  <c r="N267" i="13"/>
  <c r="O267" i="13"/>
  <c r="P267" i="13"/>
  <c r="Q267" i="13"/>
  <c r="R267" i="13"/>
  <c r="S267" i="13"/>
  <c r="T267" i="13"/>
  <c r="U267" i="13"/>
  <c r="V267" i="13"/>
  <c r="AD267" i="13"/>
  <c r="K268" i="13"/>
  <c r="L268" i="13"/>
  <c r="M268" i="13"/>
  <c r="N268" i="13"/>
  <c r="O268" i="13"/>
  <c r="P268" i="13"/>
  <c r="Q268" i="13"/>
  <c r="R268" i="13"/>
  <c r="S268" i="13"/>
  <c r="T268" i="13"/>
  <c r="U268" i="13"/>
  <c r="V268" i="13"/>
  <c r="AD268" i="13"/>
  <c r="K269" i="13"/>
  <c r="L269" i="13"/>
  <c r="M269" i="13"/>
  <c r="N269" i="13"/>
  <c r="O269" i="13"/>
  <c r="P269" i="13"/>
  <c r="Q269" i="13"/>
  <c r="R269" i="13"/>
  <c r="S269" i="13"/>
  <c r="T269" i="13"/>
  <c r="U269" i="13"/>
  <c r="V269" i="13"/>
  <c r="AD269" i="13"/>
  <c r="K270" i="13"/>
  <c r="L270" i="13"/>
  <c r="M270" i="13"/>
  <c r="N270" i="13"/>
  <c r="O270" i="13"/>
  <c r="P270" i="13"/>
  <c r="Q270" i="13"/>
  <c r="R270" i="13"/>
  <c r="S270" i="13"/>
  <c r="T270" i="13"/>
  <c r="U270" i="13"/>
  <c r="V270" i="13"/>
  <c r="AD270" i="13"/>
  <c r="K271" i="13"/>
  <c r="L271" i="13"/>
  <c r="M271" i="13"/>
  <c r="N271" i="13"/>
  <c r="O271" i="13"/>
  <c r="P271" i="13"/>
  <c r="Q271" i="13"/>
  <c r="R271" i="13"/>
  <c r="S271" i="13"/>
  <c r="T271" i="13"/>
  <c r="U271" i="13"/>
  <c r="V271" i="13"/>
  <c r="AD271" i="13"/>
  <c r="AD272" i="13"/>
  <c r="B298" i="13"/>
  <c r="B302" i="13"/>
  <c r="K4" i="12"/>
  <c r="C5" i="12"/>
  <c r="C190" i="12" s="1"/>
  <c r="B293" i="13" s="1"/>
  <c r="K5" i="12"/>
  <c r="K6" i="12"/>
  <c r="L9" i="12"/>
  <c r="L10" i="12"/>
  <c r="M9" i="12"/>
  <c r="L11" i="12"/>
  <c r="L12" i="12"/>
  <c r="K14" i="12"/>
  <c r="B66" i="13" s="1"/>
  <c r="K15" i="12"/>
  <c r="K16" i="12"/>
  <c r="K17" i="12"/>
  <c r="G25" i="15" s="1"/>
  <c r="K18" i="12"/>
  <c r="K19" i="12"/>
  <c r="I25" i="15" s="1"/>
  <c r="I27" i="15" s="1"/>
  <c r="K20" i="12"/>
  <c r="B215" i="13" s="1"/>
  <c r="L23" i="12"/>
  <c r="M23" i="12"/>
  <c r="K25" i="12"/>
  <c r="L25" i="12" s="1"/>
  <c r="K26" i="12"/>
  <c r="L26" i="12" s="1"/>
  <c r="K27" i="12"/>
  <c r="L27" i="12"/>
  <c r="D28" i="12"/>
  <c r="M28" i="12" s="1"/>
  <c r="K30" i="12"/>
  <c r="L30" i="12" s="1"/>
  <c r="K31" i="12"/>
  <c r="L31" i="12" s="1"/>
  <c r="K32" i="12"/>
  <c r="L32" i="12" s="1"/>
  <c r="K33" i="12"/>
  <c r="L33" i="12" s="1"/>
  <c r="K34" i="12"/>
  <c r="L34" i="12" s="1"/>
  <c r="K35" i="12"/>
  <c r="L35" i="12" s="1"/>
  <c r="K36" i="12"/>
  <c r="L36" i="12" s="1"/>
  <c r="K37" i="12"/>
  <c r="L37" i="12" s="1"/>
  <c r="F38" i="12"/>
  <c r="C24" i="13" s="1"/>
  <c r="F39" i="12"/>
  <c r="C25" i="13" s="1"/>
  <c r="F44" i="12"/>
  <c r="V52" i="13" s="1"/>
  <c r="I44" i="12"/>
  <c r="T52" i="13"/>
  <c r="K44" i="12"/>
  <c r="L44" i="12" s="1"/>
  <c r="F45" i="12"/>
  <c r="V53" i="13" s="1"/>
  <c r="W53" i="13" s="1"/>
  <c r="I45" i="12"/>
  <c r="K45" i="12"/>
  <c r="L45" i="12" s="1"/>
  <c r="F46" i="12"/>
  <c r="V54" i="13" s="1"/>
  <c r="W54" i="13" s="1"/>
  <c r="I46" i="12"/>
  <c r="T54" i="13"/>
  <c r="K46" i="12"/>
  <c r="L46" i="12" s="1"/>
  <c r="J46" i="12" s="1"/>
  <c r="F47" i="12"/>
  <c r="V55" i="13" s="1"/>
  <c r="W55" i="13" s="1"/>
  <c r="K47" i="12"/>
  <c r="L47" i="12" s="1"/>
  <c r="F48" i="12"/>
  <c r="V56" i="13" s="1"/>
  <c r="W56" i="13" s="1"/>
  <c r="I48" i="12"/>
  <c r="K48" i="12"/>
  <c r="L48" i="12" s="1"/>
  <c r="F49" i="12"/>
  <c r="V57" i="13" s="1"/>
  <c r="I49" i="12"/>
  <c r="T57" i="13"/>
  <c r="K49" i="12"/>
  <c r="L49" i="12" s="1"/>
  <c r="J49" i="12" s="1"/>
  <c r="F50" i="12"/>
  <c r="V58" i="13" s="1"/>
  <c r="W58" i="13" s="1"/>
  <c r="B207" i="13" s="1"/>
  <c r="K50" i="12"/>
  <c r="L50" i="12" s="1"/>
  <c r="J50" i="12" s="1"/>
  <c r="F51" i="12"/>
  <c r="V59" i="13" s="1"/>
  <c r="W59" i="13" s="1"/>
  <c r="K51" i="12"/>
  <c r="L51" i="12" s="1"/>
  <c r="K55" i="12"/>
  <c r="L55" i="12" s="1"/>
  <c r="K56" i="12"/>
  <c r="L56" i="12" s="1"/>
  <c r="K57" i="12"/>
  <c r="K145" i="12" s="1"/>
  <c r="F60" i="12"/>
  <c r="F80" i="12" s="1"/>
  <c r="K62" i="12"/>
  <c r="B69" i="13" s="1"/>
  <c r="K63" i="12"/>
  <c r="L63" i="12" s="1"/>
  <c r="K65" i="12"/>
  <c r="K66" i="12"/>
  <c r="K67" i="12"/>
  <c r="M68" i="12"/>
  <c r="F69" i="12"/>
  <c r="B77" i="13" s="1"/>
  <c r="K71" i="12"/>
  <c r="L71" i="12" s="1"/>
  <c r="K72" i="12"/>
  <c r="L72" i="12" s="1"/>
  <c r="C73" i="12"/>
  <c r="C77" i="12"/>
  <c r="B75" i="13" s="1"/>
  <c r="C81" i="12"/>
  <c r="B83" i="13" s="1"/>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E116" i="12"/>
  <c r="B111" i="13" s="1"/>
  <c r="B114" i="13" s="1"/>
  <c r="F116" i="12"/>
  <c r="C111" i="13" s="1"/>
  <c r="C114" i="13" s="1"/>
  <c r="G116" i="12"/>
  <c r="D111" i="13" s="1"/>
  <c r="D114" i="13" s="1"/>
  <c r="H116" i="12"/>
  <c r="E111" i="13" s="1"/>
  <c r="E114" i="13" s="1"/>
  <c r="I116" i="12"/>
  <c r="F111" i="13" s="1"/>
  <c r="F114" i="13" s="1"/>
  <c r="L116" i="12"/>
  <c r="E120" i="12"/>
  <c r="E121" i="12"/>
  <c r="C127" i="12"/>
  <c r="C133" i="12"/>
  <c r="C132" i="12" s="1"/>
  <c r="C137" i="12"/>
  <c r="K137" i="12"/>
  <c r="K142" i="12"/>
  <c r="K143" i="12"/>
  <c r="K147" i="12"/>
  <c r="K159" i="12" s="1"/>
  <c r="K150" i="12"/>
  <c r="K163" i="12"/>
  <c r="L163" i="12" s="1"/>
  <c r="K164" i="12"/>
  <c r="L164" i="12" s="1"/>
  <c r="K165" i="12"/>
  <c r="L165" i="12" s="1"/>
  <c r="K166" i="12"/>
  <c r="L166" i="12" s="1"/>
  <c r="K167" i="12"/>
  <c r="L167" i="12" s="1"/>
  <c r="K168" i="12"/>
  <c r="L168" i="12" s="1"/>
  <c r="K169" i="12"/>
  <c r="L169" i="12" s="1"/>
  <c r="C173" i="12"/>
  <c r="C177" i="12"/>
  <c r="B260" i="13" s="1"/>
  <c r="C178" i="12"/>
  <c r="B261" i="13" s="1"/>
  <c r="C182" i="12"/>
  <c r="B295" i="13" s="1"/>
  <c r="B303" i="13" s="1"/>
  <c r="B191" i="12" s="1"/>
  <c r="C50" i="17" s="1"/>
  <c r="K184" i="12"/>
  <c r="B289" i="13" s="1"/>
  <c r="K185" i="12"/>
  <c r="L185" i="12" s="1"/>
  <c r="C186" i="12"/>
  <c r="C189" i="12"/>
  <c r="B291" i="13" s="1"/>
  <c r="F548" i="12"/>
  <c r="H5" i="17"/>
  <c r="E8" i="17"/>
  <c r="E9" i="17"/>
  <c r="AQ17" i="17"/>
  <c r="E32" i="17"/>
  <c r="E40" i="17"/>
  <c r="M134" i="12"/>
  <c r="H23" i="15"/>
  <c r="I15" i="15"/>
  <c r="I17" i="15"/>
  <c r="H21" i="15"/>
  <c r="H25" i="15"/>
  <c r="H27" i="15" s="1"/>
  <c r="M18" i="12"/>
  <c r="M180" i="12"/>
  <c r="B256" i="13"/>
  <c r="T262" i="13" s="1"/>
  <c r="J23" i="15" l="1"/>
  <c r="M149" i="12"/>
  <c r="L17" i="12"/>
  <c r="B225" i="13"/>
  <c r="F120" i="13"/>
  <c r="E120" i="13"/>
  <c r="F25" i="15"/>
  <c r="C120" i="13"/>
  <c r="B70" i="13"/>
  <c r="F78" i="12"/>
  <c r="B68" i="13"/>
  <c r="L14" i="12"/>
  <c r="L20" i="12"/>
  <c r="B160" i="13"/>
  <c r="L19" i="12"/>
  <c r="M127" i="12"/>
  <c r="G23" i="15"/>
  <c r="C45" i="13"/>
  <c r="M189" i="12"/>
  <c r="L57" i="12"/>
  <c r="B78" i="13"/>
  <c r="H53" i="13"/>
  <c r="B197" i="13"/>
  <c r="B208" i="13" s="1"/>
  <c r="C20" i="13"/>
  <c r="C21" i="13" s="1"/>
  <c r="C22" i="13" s="1"/>
  <c r="D43" i="13" s="1"/>
  <c r="M133" i="12"/>
  <c r="G53" i="13"/>
  <c r="I13" i="15"/>
  <c r="G56" i="13"/>
  <c r="M25" i="12"/>
  <c r="K146" i="12"/>
  <c r="K144" i="12" s="1"/>
  <c r="K3" i="12"/>
  <c r="C29" i="13"/>
  <c r="D58" i="13" s="1"/>
  <c r="W57" i="13"/>
  <c r="B188" i="13" s="1"/>
  <c r="W52" i="13"/>
  <c r="J25" i="15"/>
  <c r="C26" i="13"/>
  <c r="G52" i="13"/>
  <c r="B255" i="13"/>
  <c r="B271" i="13" s="1"/>
  <c r="B299" i="13"/>
  <c r="B306" i="13" s="1"/>
  <c r="B275" i="13"/>
  <c r="L184" i="12"/>
  <c r="M184" i="12" s="1"/>
  <c r="B294" i="13"/>
  <c r="B297" i="13" s="1"/>
  <c r="L23" i="15"/>
  <c r="M181" i="12"/>
  <c r="L21" i="15"/>
  <c r="L25" i="15"/>
  <c r="M182" i="12"/>
  <c r="M186" i="12"/>
  <c r="M190" i="12"/>
  <c r="M188" i="12"/>
  <c r="L22" i="12"/>
  <c r="T263" i="13"/>
  <c r="T264" i="13" s="1"/>
  <c r="P263" i="13"/>
  <c r="U263" i="13"/>
  <c r="Q263" i="13"/>
  <c r="V263" i="13"/>
  <c r="S263" i="13"/>
  <c r="R263" i="13"/>
  <c r="B263" i="13"/>
  <c r="K21" i="15" s="1"/>
  <c r="O263" i="13"/>
  <c r="L263" i="13"/>
  <c r="K263" i="13"/>
  <c r="M263" i="13"/>
  <c r="N263" i="13"/>
  <c r="S262" i="13"/>
  <c r="L262" i="13"/>
  <c r="V262" i="13"/>
  <c r="K262" i="13"/>
  <c r="P262" i="13"/>
  <c r="Q262" i="13"/>
  <c r="N262" i="13"/>
  <c r="M262" i="13"/>
  <c r="I38" i="17" s="1"/>
  <c r="O262" i="13"/>
  <c r="U262" i="13"/>
  <c r="R262" i="13"/>
  <c r="M163" i="12"/>
  <c r="B254" i="13"/>
  <c r="M173" i="12"/>
  <c r="M178" i="12"/>
  <c r="K23" i="15"/>
  <c r="M177" i="12"/>
  <c r="G27" i="15"/>
  <c r="K158" i="12"/>
  <c r="M57" i="13" s="1"/>
  <c r="H59" i="13"/>
  <c r="H57" i="13"/>
  <c r="H54" i="13"/>
  <c r="H56" i="13"/>
  <c r="H52" i="13"/>
  <c r="B202" i="13"/>
  <c r="B183" i="13"/>
  <c r="B165" i="13"/>
  <c r="M132" i="12"/>
  <c r="B170" i="13"/>
  <c r="B200" i="13"/>
  <c r="I11" i="15"/>
  <c r="I23" i="15"/>
  <c r="B178" i="13"/>
  <c r="B249" i="13" s="1"/>
  <c r="B203" i="13"/>
  <c r="B167" i="13"/>
  <c r="M131" i="12"/>
  <c r="B201" i="13"/>
  <c r="B199" i="13"/>
  <c r="L18" i="12"/>
  <c r="B198" i="13"/>
  <c r="B120" i="13"/>
  <c r="M121" i="12"/>
  <c r="K124" i="12"/>
  <c r="E23" i="15" s="1"/>
  <c r="I117" i="12"/>
  <c r="L124" i="12"/>
  <c r="F23" i="15" s="1"/>
  <c r="E25" i="15"/>
  <c r="M120" i="12"/>
  <c r="P119" i="12"/>
  <c r="B105" i="13"/>
  <c r="M118" i="12"/>
  <c r="P118" i="12"/>
  <c r="E117" i="12"/>
  <c r="M119" i="12"/>
  <c r="L16" i="12"/>
  <c r="P121" i="12"/>
  <c r="P120" i="12"/>
  <c r="F117" i="12"/>
  <c r="L15" i="12"/>
  <c r="H117" i="12"/>
  <c r="G117" i="12"/>
  <c r="M15" i="12"/>
  <c r="M16" i="12"/>
  <c r="B104" i="13"/>
  <c r="B79" i="13"/>
  <c r="L62" i="12"/>
  <c r="M62" i="12" s="1"/>
  <c r="B71" i="13"/>
  <c r="F79" i="12"/>
  <c r="M81" i="12"/>
  <c r="H69" i="12"/>
  <c r="M71" i="12"/>
  <c r="H60" i="12"/>
  <c r="M69" i="12"/>
  <c r="B132" i="13"/>
  <c r="M77" i="12"/>
  <c r="M73" i="12"/>
  <c r="D25" i="15"/>
  <c r="M60" i="12"/>
  <c r="G54" i="13"/>
  <c r="H55" i="13"/>
  <c r="H58" i="13"/>
  <c r="C30" i="13"/>
  <c r="M51" i="12"/>
  <c r="J51" i="12"/>
  <c r="C27" i="13"/>
  <c r="M30" i="12"/>
  <c r="J27" i="15" l="1"/>
  <c r="B206" i="13"/>
  <c r="B227" i="13"/>
  <c r="B204" i="13"/>
  <c r="B209" i="13"/>
  <c r="M54" i="13"/>
  <c r="F27" i="15"/>
  <c r="M59" i="13"/>
  <c r="F81" i="12"/>
  <c r="M58" i="13"/>
  <c r="M55" i="13"/>
  <c r="M53" i="13"/>
  <c r="M52" i="13"/>
  <c r="D54" i="13"/>
  <c r="AC54" i="13" s="1"/>
  <c r="B220" i="13"/>
  <c r="D40" i="13"/>
  <c r="D38" i="13"/>
  <c r="D42" i="13"/>
  <c r="I58" i="13"/>
  <c r="J58" i="13" s="1"/>
  <c r="I57" i="13"/>
  <c r="J57" i="13" s="1"/>
  <c r="D45" i="13"/>
  <c r="D41" i="13"/>
  <c r="M39" i="12"/>
  <c r="D39" i="13"/>
  <c r="B224" i="13"/>
  <c r="D44" i="13"/>
  <c r="I54" i="13"/>
  <c r="J54" i="13" s="1"/>
  <c r="I53" i="13"/>
  <c r="J53" i="13" s="1"/>
  <c r="C33" i="13"/>
  <c r="C23" i="13"/>
  <c r="B216" i="13"/>
  <c r="B161" i="13"/>
  <c r="D57" i="13"/>
  <c r="C57" i="13" s="1"/>
  <c r="D59" i="13"/>
  <c r="X59" i="13" s="1"/>
  <c r="B143" i="13"/>
  <c r="B162" i="13"/>
  <c r="I55" i="13"/>
  <c r="J55" i="13" s="1"/>
  <c r="B267" i="13" s="1"/>
  <c r="I56" i="13"/>
  <c r="J56" i="13" s="1"/>
  <c r="I52" i="13"/>
  <c r="J52" i="13" s="1"/>
  <c r="I59" i="13"/>
  <c r="J59" i="13" s="1"/>
  <c r="X58" i="13"/>
  <c r="C58" i="13"/>
  <c r="Y58" i="13"/>
  <c r="AC58" i="13"/>
  <c r="E58" i="13"/>
  <c r="AD58" i="13"/>
  <c r="B217" i="13"/>
  <c r="B221" i="13" s="1"/>
  <c r="I48" i="17"/>
  <c r="E27" i="15"/>
  <c r="M20" i="12"/>
  <c r="L27" i="15"/>
  <c r="N264" i="13"/>
  <c r="Q264" i="13"/>
  <c r="U264" i="13"/>
  <c r="L264" i="13"/>
  <c r="O264" i="13"/>
  <c r="M264" i="13"/>
  <c r="L11" i="15"/>
  <c r="F51" i="17"/>
  <c r="I51" i="17" s="1"/>
  <c r="B305" i="13"/>
  <c r="L15" i="15" s="1"/>
  <c r="F191" i="12" s="1"/>
  <c r="F50" i="17" s="1"/>
  <c r="I50" i="17" s="1"/>
  <c r="H46" i="17"/>
  <c r="I46" i="17"/>
  <c r="C21" i="15"/>
  <c r="B296" i="13"/>
  <c r="B300" i="13" s="1"/>
  <c r="B307" i="13" s="1"/>
  <c r="B301" i="13"/>
  <c r="L13" i="15" s="1"/>
  <c r="P264" i="13"/>
  <c r="K25" i="15"/>
  <c r="K27" i="15" s="1"/>
  <c r="S264" i="13"/>
  <c r="R264" i="13"/>
  <c r="V264" i="13"/>
  <c r="B264" i="13"/>
  <c r="K264" i="13"/>
  <c r="L5" i="12"/>
  <c r="M56" i="13"/>
  <c r="K157" i="12"/>
  <c r="M17" i="12"/>
  <c r="M14" i="12"/>
  <c r="B185" i="13"/>
  <c r="B180" i="13"/>
  <c r="B181" i="13"/>
  <c r="B191" i="13"/>
  <c r="H19" i="15" s="1"/>
  <c r="B179" i="13"/>
  <c r="B235" i="13"/>
  <c r="C32" i="13"/>
  <c r="C112" i="13"/>
  <c r="C115" i="13" s="1"/>
  <c r="D112" i="13"/>
  <c r="D115" i="13" s="1"/>
  <c r="B112" i="13"/>
  <c r="B115" i="13" s="1"/>
  <c r="F112" i="13"/>
  <c r="F115" i="13" s="1"/>
  <c r="E115" i="13"/>
  <c r="E112" i="13"/>
  <c r="M38" i="12"/>
  <c r="L4" i="12"/>
  <c r="M44" i="12"/>
  <c r="M55" i="12"/>
  <c r="D23" i="15"/>
  <c r="C23" i="15" s="1"/>
  <c r="B147" i="13"/>
  <c r="B151" i="13"/>
  <c r="E44" i="13"/>
  <c r="E42" i="13"/>
  <c r="E39" i="13"/>
  <c r="E43" i="13"/>
  <c r="E41" i="13"/>
  <c r="E38" i="13"/>
  <c r="E45" i="13"/>
  <c r="E40" i="13"/>
  <c r="J9" i="17" l="1"/>
  <c r="C54" i="13"/>
  <c r="Y54" i="13"/>
  <c r="X54" i="13"/>
  <c r="E54" i="13"/>
  <c r="AD54" i="13"/>
  <c r="C51" i="17"/>
  <c r="B163" i="13"/>
  <c r="B139" i="13"/>
  <c r="B218" i="13"/>
  <c r="B222" i="13" s="1"/>
  <c r="AC57" i="13"/>
  <c r="J47" i="12"/>
  <c r="AD57" i="13"/>
  <c r="Y59" i="13"/>
  <c r="E59" i="13"/>
  <c r="X57" i="13"/>
  <c r="E57" i="13"/>
  <c r="AC59" i="13"/>
  <c r="C59" i="13"/>
  <c r="AD59" i="13"/>
  <c r="Y57" i="13"/>
  <c r="B309" i="13"/>
  <c r="L19" i="15" s="1"/>
  <c r="B304" i="13"/>
  <c r="J191" i="12"/>
  <c r="E47" i="13"/>
  <c r="B268" i="13"/>
  <c r="B272" i="13" s="1"/>
  <c r="B279" i="13" s="1"/>
  <c r="B308" i="13"/>
  <c r="L17" i="15" s="1"/>
  <c r="B266" i="13"/>
  <c r="F43" i="17" s="1"/>
  <c r="C43" i="17" s="1"/>
  <c r="L2" i="12"/>
  <c r="K55" i="13"/>
  <c r="N55" i="13" s="1"/>
  <c r="K57" i="13"/>
  <c r="N57" i="13" s="1"/>
  <c r="K56" i="13"/>
  <c r="N56" i="13" s="1"/>
  <c r="K59" i="13"/>
  <c r="N59" i="13" s="1"/>
  <c r="K58" i="13"/>
  <c r="N58" i="13" s="1"/>
  <c r="K53" i="13"/>
  <c r="N53" i="13" s="1"/>
  <c r="K52" i="13"/>
  <c r="N52" i="13" s="1"/>
  <c r="K54" i="13"/>
  <c r="N54" i="13" s="1"/>
  <c r="L3" i="12"/>
  <c r="F118" i="13"/>
  <c r="F121" i="13"/>
  <c r="F122" i="13" s="1"/>
  <c r="F123" i="13" s="1"/>
  <c r="D118" i="13"/>
  <c r="D121" i="13"/>
  <c r="D122" i="13" s="1"/>
  <c r="D123" i="13" s="1"/>
  <c r="C121" i="13"/>
  <c r="C122" i="13" s="1"/>
  <c r="C123" i="13" s="1"/>
  <c r="C118" i="13"/>
  <c r="E121" i="13"/>
  <c r="E122" i="13" s="1"/>
  <c r="E123" i="13" s="1"/>
  <c r="E118" i="13"/>
  <c r="B118" i="13"/>
  <c r="B121" i="13"/>
  <c r="B122" i="13" s="1"/>
  <c r="B123" i="13" s="1"/>
  <c r="D27" i="15"/>
  <c r="J45" i="12" l="1"/>
  <c r="J48" i="12"/>
  <c r="K10" i="17"/>
  <c r="I10" i="17"/>
  <c r="J44" i="12"/>
  <c r="E46" i="13"/>
  <c r="B65" i="13"/>
  <c r="B276" i="13"/>
  <c r="B179" i="12" s="1"/>
  <c r="C42" i="17" s="1"/>
  <c r="I43" i="17"/>
  <c r="B265" i="13"/>
  <c r="B269" i="13" s="1"/>
  <c r="K9" i="15"/>
  <c r="B124" i="13"/>
  <c r="E119" i="13"/>
  <c r="B86" i="13"/>
  <c r="F119" i="13"/>
  <c r="D119" i="13"/>
  <c r="F124" i="13"/>
  <c r="E124" i="13"/>
  <c r="D124" i="13"/>
  <c r="B119" i="13"/>
  <c r="C124" i="13"/>
  <c r="B85" i="13"/>
  <c r="B91" i="13"/>
  <c r="C119" i="13"/>
  <c r="B90" i="13"/>
  <c r="F125" i="13" l="1"/>
  <c r="F126" i="13" s="1"/>
  <c r="F127" i="13" s="1"/>
  <c r="F129" i="13" s="1"/>
  <c r="E125" i="13"/>
  <c r="D9" i="17"/>
  <c r="D52" i="13"/>
  <c r="E52" i="13" s="1"/>
  <c r="D56" i="13"/>
  <c r="D55" i="13"/>
  <c r="E55" i="13" s="1"/>
  <c r="D53" i="13"/>
  <c r="B133" i="13"/>
  <c r="B277" i="13"/>
  <c r="B278" i="13" s="1"/>
  <c r="K15" i="15" s="1"/>
  <c r="F179" i="12" s="1"/>
  <c r="B273" i="13"/>
  <c r="B270" i="13"/>
  <c r="K11" i="15" s="1"/>
  <c r="B125" i="13"/>
  <c r="B126" i="13" s="1"/>
  <c r="C125" i="13"/>
  <c r="C126" i="13" s="1"/>
  <c r="C128" i="13" s="1"/>
  <c r="D125" i="13"/>
  <c r="D126" i="13" s="1"/>
  <c r="D128" i="13" s="1"/>
  <c r="B87" i="13"/>
  <c r="B134" i="13"/>
  <c r="B92" i="13"/>
  <c r="F128" i="13" l="1"/>
  <c r="F9" i="15"/>
  <c r="E126" i="13"/>
  <c r="F27" i="17" s="1"/>
  <c r="I27" i="17" s="1"/>
  <c r="C52" i="13"/>
  <c r="E56" i="13"/>
  <c r="C56" i="13"/>
  <c r="B135" i="13"/>
  <c r="D51" i="13"/>
  <c r="C55" i="13"/>
  <c r="E53" i="13"/>
  <c r="C53" i="13"/>
  <c r="B280" i="13"/>
  <c r="B281" i="13" s="1"/>
  <c r="K17" i="15" s="1"/>
  <c r="B274" i="13"/>
  <c r="F42" i="17"/>
  <c r="I42" i="17" s="1"/>
  <c r="J179" i="12"/>
  <c r="C127" i="13"/>
  <c r="C129" i="13" s="1"/>
  <c r="E9" i="15"/>
  <c r="D127" i="13"/>
  <c r="D129" i="13" s="1"/>
  <c r="E11" i="15"/>
  <c r="B128" i="13"/>
  <c r="E15" i="15" s="1"/>
  <c r="B127" i="13"/>
  <c r="B93" i="13"/>
  <c r="B94" i="13" s="1"/>
  <c r="F11" i="15" l="1"/>
  <c r="E127" i="13"/>
  <c r="E128" i="13"/>
  <c r="F15" i="15" s="1"/>
  <c r="F124" i="12" s="1"/>
  <c r="E51" i="13"/>
  <c r="B140" i="13"/>
  <c r="B148" i="13" s="1"/>
  <c r="C51" i="13"/>
  <c r="AC55" i="13"/>
  <c r="K13" i="15"/>
  <c r="B282" i="13"/>
  <c r="K19" i="15" s="1"/>
  <c r="C19" i="15" s="1"/>
  <c r="D9" i="15"/>
  <c r="C9" i="15" s="1"/>
  <c r="C27" i="17"/>
  <c r="E13" i="15"/>
  <c r="B129" i="13"/>
  <c r="E17" i="15" s="1"/>
  <c r="B136" i="13"/>
  <c r="B138" i="13" s="1"/>
  <c r="F20" i="17"/>
  <c r="I20" i="17" s="1"/>
  <c r="D11" i="15"/>
  <c r="B95" i="13"/>
  <c r="B96" i="13"/>
  <c r="D15" i="15" s="1"/>
  <c r="AC52" i="13" l="1"/>
  <c r="AD52" i="13" s="1"/>
  <c r="F26" i="17"/>
  <c r="I26" i="17" s="1"/>
  <c r="J124" i="12"/>
  <c r="F13" i="15"/>
  <c r="E129" i="13"/>
  <c r="F17" i="15" s="1"/>
  <c r="U57" i="13"/>
  <c r="B144" i="13"/>
  <c r="U59" i="13"/>
  <c r="U55" i="13"/>
  <c r="X55" i="13" s="1"/>
  <c r="U56" i="13"/>
  <c r="X56" i="13" s="1"/>
  <c r="Y56" i="13" s="1"/>
  <c r="U52" i="13"/>
  <c r="X52" i="13" s="1"/>
  <c r="Y52" i="13" s="1"/>
  <c r="U54" i="13"/>
  <c r="AA54" i="13" s="1"/>
  <c r="U58" i="13"/>
  <c r="AC53" i="13"/>
  <c r="AC56" i="13"/>
  <c r="AD56" i="13" s="1"/>
  <c r="U53" i="13"/>
  <c r="AA53" i="13" s="1"/>
  <c r="X53" i="13"/>
  <c r="Y53" i="13" s="1"/>
  <c r="AD53" i="13"/>
  <c r="AD55" i="13"/>
  <c r="Y55" i="13"/>
  <c r="B137" i="13"/>
  <c r="B97" i="13"/>
  <c r="D17" i="15" s="1"/>
  <c r="D13" i="15"/>
  <c r="F19" i="17"/>
  <c r="I19" i="17" s="1"/>
  <c r="F82" i="12"/>
  <c r="J82" i="12" s="1"/>
  <c r="C20" i="17"/>
  <c r="B187" i="13" l="1"/>
  <c r="H13" i="15" s="1"/>
  <c r="B184" i="13"/>
  <c r="H11" i="15" s="1"/>
  <c r="B182" i="13"/>
  <c r="AC60" i="13"/>
  <c r="X60" i="13"/>
  <c r="AD60" i="13"/>
  <c r="Y60" i="13"/>
  <c r="B171" i="13" s="1"/>
  <c r="B219" i="13"/>
  <c r="B223" i="13"/>
  <c r="J11" i="15" s="1"/>
  <c r="B226" i="13"/>
  <c r="J13" i="15" s="1"/>
  <c r="K11" i="17"/>
  <c r="I11" i="17" s="1"/>
  <c r="B166" i="13"/>
  <c r="B169" i="13"/>
  <c r="B164" i="13"/>
  <c r="B172" i="13"/>
  <c r="B141" i="13"/>
  <c r="B246" i="13" l="1"/>
  <c r="B82" i="12"/>
  <c r="B189" i="13"/>
  <c r="H15" i="15" s="1"/>
  <c r="B152" i="13"/>
  <c r="B190" i="13"/>
  <c r="H17" i="15" s="1"/>
  <c r="C26" i="17"/>
  <c r="C19" i="17"/>
  <c r="B124" i="12"/>
  <c r="B153" i="13"/>
  <c r="B243" i="13"/>
  <c r="B160" i="12" s="1"/>
  <c r="C34" i="17" s="1"/>
  <c r="G13" i="15"/>
  <c r="C13" i="15" s="1"/>
  <c r="B241" i="13"/>
  <c r="B149" i="13"/>
  <c r="B150" i="13" s="1"/>
  <c r="B236" i="13"/>
  <c r="G11" i="15"/>
  <c r="C11" i="15" s="1"/>
  <c r="B237" i="13"/>
  <c r="G15" i="15"/>
  <c r="G17" i="15"/>
  <c r="B142" i="13"/>
  <c r="B145" i="13"/>
  <c r="B229" i="13" l="1"/>
  <c r="J17" i="15" s="1"/>
  <c r="C17" i="15" s="1"/>
  <c r="B154" i="13"/>
  <c r="B228" i="13"/>
  <c r="J15" i="15" s="1"/>
  <c r="F160" i="12" s="1"/>
  <c r="B146" i="13"/>
  <c r="B240" i="13"/>
  <c r="B242" i="13" s="1"/>
  <c r="B238" i="13"/>
  <c r="F35" i="17"/>
  <c r="B239" i="13"/>
  <c r="B247" i="13" l="1"/>
  <c r="B248" i="13" s="1"/>
  <c r="C15" i="15"/>
  <c r="B244" i="13"/>
  <c r="B245" i="13" s="1"/>
  <c r="I35" i="17"/>
  <c r="C35" i="17"/>
  <c r="J160" i="12"/>
  <c r="F34" i="17"/>
  <c r="I34"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Živojin Stuparević</author>
  </authors>
  <commentList>
    <comment ref="I5" authorId="0" shapeId="0" xr:uid="{3DAE8EBA-91AA-481E-BDDB-4C6F166AC1EC}">
      <text>
        <r>
          <rPr>
            <b/>
            <sz val="9"/>
            <color indexed="81"/>
            <rFont val="Tahoma"/>
            <family val="2"/>
          </rPr>
          <t>ОБАВЕЗАН УНОС КАДА ЈЕ ДОМАЋИНСТВО СТАН !!!
ОСТАВИТИ ПРАЗНО КАДА СЕ РАДИ О ПОРОДИЧНОЈ КУЋИ !!!</t>
        </r>
      </text>
    </comment>
    <comment ref="I6" authorId="0" shapeId="0" xr:uid="{54465704-1222-4D6A-A4CF-3AF1FE770698}">
      <text>
        <r>
          <rPr>
            <b/>
            <sz val="9"/>
            <color indexed="81"/>
            <rFont val="Tahoma"/>
            <family val="2"/>
          </rPr>
          <t>Рачунају се собе, кухиње, трпезарије, тоалети, оставе и друге просторије намењене становању. Не рачунају се гараже, подруми, тавани и сл. - простори у којима се не живи</t>
        </r>
      </text>
    </comment>
    <comment ref="I7" authorId="0" shapeId="0" xr:uid="{92FE58D5-599D-4746-9940-046033CB57E2}">
      <text>
        <r>
          <rPr>
            <b/>
            <sz val="9"/>
            <color indexed="81"/>
            <rFont val="Tahoma"/>
            <family val="2"/>
          </rPr>
          <t>Ако домаћинство има више етажа унети просечну висину етаже</t>
        </r>
      </text>
    </comment>
    <comment ref="D8" authorId="0" shapeId="0" xr:uid="{0E28991A-4233-4717-9BC5-FBFD941FDB37}">
      <text>
        <r>
          <rPr>
            <b/>
            <sz val="9"/>
            <color indexed="81"/>
            <rFont val="Tahoma"/>
            <family val="2"/>
          </rPr>
          <t xml:space="preserve">ОРИЈЕНТАЦИОНЕ ВРЕДНОСТИ:
дрво m3 (pm) __________7,000
угаљ t _______________22,000
течно гориво t ________90,000
електрична енергија kWh ___10
гас m3 __________________42
пелет t ______________33,000
топлотна пумпа kWh _______5
даљинско грејање kWh _____8
</t>
        </r>
      </text>
    </comment>
    <comment ref="I9" authorId="0" shapeId="0" xr:uid="{ED95E178-BA1E-4761-AA7A-8D573DF48B9F}">
      <text>
        <r>
          <rPr>
            <b/>
            <sz val="9"/>
            <color indexed="81"/>
            <rFont val="Tahoma"/>
            <family val="2"/>
          </rPr>
          <t>НИЈЕ ОБАВЕЗАН УНОС!!!
Ако постоји податак ( из елабората, ен. Пасоша, пројекта и сл. ). У супротном оставити празно</t>
        </r>
      </text>
    </comment>
    <comment ref="D10" authorId="0" shapeId="0" xr:uid="{CC6E51DA-79D1-415E-B57B-1BE85CACEDF8}">
      <text>
        <r>
          <rPr>
            <b/>
            <sz val="9"/>
            <color indexed="81"/>
            <rFont val="Tahoma"/>
            <family val="2"/>
          </rPr>
          <t>НИЈЕ ОБАВЕЗАН УНОС!!!
УНЕТИ КАДА У СЛУЧАЈУ КАДА СЕ ЗНА ПОДАТАК КОЈИ ЈЕ ПРЕЦИЗНИЈИ ОД ПРОЦЕЊЕНЕ ПОТРОШЊЕ</t>
        </r>
      </text>
    </comment>
    <comment ref="D11" authorId="0" shapeId="0" xr:uid="{286C8B07-1BE2-4074-89A1-40ED8EE27E6A}">
      <text>
        <r>
          <rPr>
            <b/>
            <sz val="9"/>
            <color indexed="81"/>
            <rFont val="Tahoma"/>
            <family val="2"/>
          </rPr>
          <t>АУТОМАТСКА - Постоје термостати на грејним телима (термостатски вентили на радијаторима, ТА пећи, уљани радијатори, клима уређаји и сл.)
РУЧНА - Грејна тела немају термостат (пећи на чврсто гориво, електичне грејалице, радијатори са ручним вентилима и сл.)</t>
        </r>
      </text>
    </comment>
    <comment ref="I16" authorId="0" shapeId="0" xr:uid="{BF05DC87-EAD8-412D-AC05-7F05EB35BB2C}">
      <text>
        <r>
          <rPr>
            <b/>
            <sz val="9"/>
            <color indexed="81"/>
            <rFont val="Tahoma"/>
            <family val="2"/>
          </rPr>
          <t>Не веће од 1.6
Податак који даје произвођач или дистрибутер !!!</t>
        </r>
      </text>
    </comment>
    <comment ref="I17" authorId="0" shapeId="0" xr:uid="{16ED454A-76A1-4784-B177-91F28D1D956D}">
      <text>
        <r>
          <rPr>
            <b/>
            <sz val="9"/>
            <color indexed="81"/>
            <rFont val="Tahoma"/>
            <family val="2"/>
          </rPr>
          <t>Не веће од 1.3
Податак који даје произвођач или дистрибутер !!!</t>
        </r>
      </text>
    </comment>
    <comment ref="I24" authorId="0" shapeId="0" xr:uid="{4FE1DD5D-6F2B-47CD-A798-ADAF1AD4A88B}">
      <text>
        <r>
          <rPr>
            <b/>
            <sz val="9"/>
            <color indexed="81"/>
            <rFont val="Tahoma"/>
            <family val="2"/>
          </rPr>
          <t>спољни зид - не мање од 10 цм
кров - не мање од 20 цм</t>
        </r>
      </text>
    </comment>
    <comment ref="I25" authorId="0" shapeId="0" xr:uid="{C4EA0564-9D79-44FB-B34F-A210283AEA1D}">
      <text>
        <r>
          <rPr>
            <b/>
            <sz val="9"/>
            <color indexed="81"/>
            <rFont val="Tahoma"/>
            <family val="2"/>
          </rPr>
          <t>Податак који даје произвођач или дистрибутер !!!
Не веће од 0.070
Уобичајене вр. 0.035 - 0.041</t>
        </r>
      </text>
    </comment>
    <comment ref="D30" authorId="0" shapeId="0" xr:uid="{A37F5F15-56FF-458D-B7E1-567E30BC9209}">
      <text>
        <r>
          <rPr>
            <b/>
            <sz val="9"/>
            <color indexed="81"/>
            <rFont val="Tahoma"/>
            <family val="2"/>
          </rPr>
          <t>Ако се врши замена или уградња нове инсталације унети збирну вредност инвестиције за котао и илнсталацију</t>
        </r>
      </text>
    </comment>
    <comment ref="I30" authorId="0" shapeId="0" xr:uid="{DEE25E5B-CFFA-462B-812E-241F45627D9B}">
      <text>
        <r>
          <rPr>
            <b/>
            <sz val="9"/>
            <color indexed="81"/>
            <rFont val="Tahoma"/>
            <family val="2"/>
          </rPr>
          <t>Податак који даје произвођач или дистрибутер !!!
Котао на пелет  мин.0.85
Котао на гас      мин.0.9
Топлотне пумпе:
Ваздух-ваздух   мин.3.4
Ваздух-вода      мин.3.4
Земља-вода      мин.4.0
Вода-вода         мин.4.5</t>
        </r>
      </text>
    </comment>
    <comment ref="D32" authorId="0" shapeId="0" xr:uid="{73552185-CF69-45DD-930F-F162A6DF2E83}">
      <text>
        <r>
          <rPr>
            <b/>
            <sz val="9"/>
            <color indexed="81"/>
            <rFont val="Tahoma"/>
            <family val="2"/>
          </rPr>
          <t xml:space="preserve">ОРИЈЕНТАЦИОНЕ ВРЕДНОСТИ:
дрво m3 (pm) __________7,000
угаљ t _______________22,000
течно гориво t ________90,000
електрична енергија kWh ___10
гас m3 __________________42
пелет t ______________33,000
топлотна пумпа kWh _______5
даљинско грејање kWh _____8
</t>
        </r>
      </text>
    </comment>
    <comment ref="I38" authorId="0" shapeId="0" xr:uid="{761FCA09-A10D-4725-AC4D-E05FF1152332}">
      <text>
        <r>
          <rPr>
            <b/>
            <sz val="9"/>
            <color indexed="81"/>
            <rFont val="Tahoma"/>
            <family val="2"/>
          </rPr>
          <t>ПРЕПОРУКА ВАЖИ ЗА СТЕПЕН КОРИСНОСТИ 60%. ИЗВРШИТИ КОРЕКЦИЈУ АКО ПОСТОЈИ БИТНА РАЗЛИКА СТЕПЕНА КОРИСНОСТИ ОД 60%</t>
        </r>
      </text>
    </comment>
    <comment ref="I39" authorId="0" shapeId="0" xr:uid="{1C5977DC-E54D-4AE4-A6FF-66518128C48F}">
      <text>
        <r>
          <rPr>
            <b/>
            <sz val="9"/>
            <color indexed="81"/>
            <rFont val="Tahoma"/>
            <family val="2"/>
          </rPr>
          <t>Препорука је да се изврши рорачун
Уобичајено 2-4 м2</t>
        </r>
      </text>
    </comment>
    <comment ref="D40" authorId="0" shapeId="0" xr:uid="{A7C07D7A-9251-4181-9A27-32BE631D70C0}">
      <text>
        <r>
          <rPr>
            <b/>
            <sz val="9"/>
            <color indexed="81"/>
            <rFont val="Tahoma"/>
            <family val="2"/>
          </rPr>
          <t xml:space="preserve">ОРИЈЕНТАЦИОНЕ ВРЕДНОСТИ:
дрво m3 (pm) __________7,000
угаљ t _______________22,000
течно гориво t ________90,000
електрична енергија kWh ___10
гас m3 __________________42
пелет t ______________33,000
топлотна пумпа kWh _______5
даљинско грејање kWh _____8
</t>
        </r>
      </text>
    </comment>
    <comment ref="I40" authorId="0" shapeId="0" xr:uid="{AEE8EED8-5DA4-486D-A102-7C614DDA5D90}">
      <text>
        <r>
          <rPr>
            <b/>
            <sz val="9"/>
            <color indexed="81"/>
            <rFont val="Tahoma"/>
            <family val="2"/>
          </rPr>
          <t>Податак који даје произвођач или дистрибутер !!!
Обично око 60%</t>
        </r>
      </text>
    </comment>
    <comment ref="D47" authorId="0" shapeId="0" xr:uid="{021A5617-1099-4AFA-B414-AC6F2786E125}">
      <text>
        <r>
          <rPr>
            <b/>
            <sz val="9"/>
            <color indexed="81"/>
            <rFont val="Tahoma"/>
            <family val="2"/>
          </rPr>
          <t>Може се прочитати на рачуну за струју изнад графикона потрошње по месецима</t>
        </r>
      </text>
    </comment>
    <comment ref="I47" authorId="0" shapeId="0" xr:uid="{22BE1FEA-55B7-4199-8610-5B0C69C1F8F1}">
      <text>
        <r>
          <rPr>
            <b/>
            <sz val="9"/>
            <color indexed="81"/>
            <rFont val="Tahoma"/>
            <family val="2"/>
          </rPr>
          <t>Податак који даје произвођач или дистрибутер !!!
ОБРАТИТИ ПАЖЊУ!!!
Према важећем закону годишња производња (уштеда) не може бити већа од годишње потрошње ел.енергије. 
Препорука је оптимизација снагe система тако да годишња расположива производња буде мало мања или једнака годишњој потрошњи ел.енергије.
У супротном систем ће бити предимензионисан и преплаћен.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Živojin Stuparević</author>
  </authors>
  <commentList>
    <comment ref="L38" authorId="0" shapeId="0" xr:uid="{A5A67105-22BF-4BF6-B6B1-A519D8C7AA4D}">
      <text>
        <r>
          <rPr>
            <b/>
            <sz val="9"/>
            <color indexed="81"/>
            <rFont val="Tahoma"/>
            <family val="2"/>
          </rPr>
          <t>Živojin Stuparević:</t>
        </r>
        <r>
          <rPr>
            <sz val="9"/>
            <color indexed="81"/>
            <rFont val="Tahoma"/>
            <family val="2"/>
          </rPr>
          <t xml:space="preserve">
KUĆE U NIZU</t>
        </r>
      </text>
    </comment>
    <comment ref="P38" authorId="0" shapeId="0" xr:uid="{6D7A46B1-CB4B-4FE4-BDB6-5D166BAF1AEC}">
      <text>
        <r>
          <rPr>
            <b/>
            <sz val="9"/>
            <color indexed="81"/>
            <rFont val="Tahoma"/>
            <family val="2"/>
          </rPr>
          <t>Živojin Stuparević:</t>
        </r>
        <r>
          <rPr>
            <sz val="9"/>
            <color indexed="81"/>
            <rFont val="Tahoma"/>
            <family val="2"/>
          </rPr>
          <t xml:space="preserve">
PRAVILNIK O UŠTEDAMA</t>
        </r>
      </text>
    </comment>
    <comment ref="L39" authorId="0" shapeId="0" xr:uid="{85D1E9AF-5D67-4F49-B82A-845D665F4EC1}">
      <text>
        <r>
          <rPr>
            <b/>
            <sz val="9"/>
            <color indexed="81"/>
            <rFont val="Tahoma"/>
            <family val="2"/>
          </rPr>
          <t>Živojin Stuparević:</t>
        </r>
        <r>
          <rPr>
            <sz val="9"/>
            <color indexed="81"/>
            <rFont val="Tahoma"/>
            <family val="2"/>
          </rPr>
          <t xml:space="preserve">
KUĆE U NIZU</t>
        </r>
      </text>
    </comment>
    <comment ref="P39" authorId="0" shapeId="0" xr:uid="{D0D400B3-98AB-4176-A670-56D7466CBF35}">
      <text>
        <r>
          <rPr>
            <b/>
            <sz val="9"/>
            <color indexed="81"/>
            <rFont val="Tahoma"/>
            <family val="2"/>
          </rPr>
          <t>Živojin Stuparević:</t>
        </r>
        <r>
          <rPr>
            <sz val="9"/>
            <color indexed="81"/>
            <rFont val="Tahoma"/>
            <family val="2"/>
          </rPr>
          <t xml:space="preserve">
PRAVILNIK O UŠTEDAMA</t>
        </r>
      </text>
    </comment>
    <comment ref="L40" authorId="0" shapeId="0" xr:uid="{42564AFC-A374-4C84-9780-7BD161BFF102}">
      <text>
        <r>
          <rPr>
            <b/>
            <sz val="9"/>
            <color indexed="81"/>
            <rFont val="Tahoma"/>
            <family val="2"/>
          </rPr>
          <t>Živojin Stuparević:</t>
        </r>
        <r>
          <rPr>
            <sz val="9"/>
            <color indexed="81"/>
            <rFont val="Tahoma"/>
            <family val="2"/>
          </rPr>
          <t xml:space="preserve">
KUĆE U NIZU</t>
        </r>
      </text>
    </comment>
    <comment ref="P40" authorId="0" shapeId="0" xr:uid="{A6AAD231-01F5-4138-87D0-BE6079C7E02B}">
      <text>
        <r>
          <rPr>
            <b/>
            <sz val="9"/>
            <color indexed="81"/>
            <rFont val="Tahoma"/>
            <family val="2"/>
          </rPr>
          <t>Živojin Stuparević:</t>
        </r>
        <r>
          <rPr>
            <sz val="9"/>
            <color indexed="81"/>
            <rFont val="Tahoma"/>
            <family val="2"/>
          </rPr>
          <t xml:space="preserve">
PRAVILNIK O UŠTEDAMA</t>
        </r>
      </text>
    </comment>
    <comment ref="P41" authorId="0" shapeId="0" xr:uid="{CA5CDBC6-8F26-4F22-8830-9B4E0D755521}">
      <text>
        <r>
          <rPr>
            <b/>
            <sz val="9"/>
            <color indexed="81"/>
            <rFont val="Tahoma"/>
            <family val="2"/>
          </rPr>
          <t>Živojin Stuparević:</t>
        </r>
        <r>
          <rPr>
            <sz val="9"/>
            <color indexed="81"/>
            <rFont val="Tahoma"/>
            <family val="2"/>
          </rPr>
          <t xml:space="preserve">
U NIZU</t>
        </r>
      </text>
    </comment>
    <comment ref="P42" authorId="0" shapeId="0" xr:uid="{EFA249CC-CA9B-4E03-81D7-F72534D6507E}">
      <text>
        <r>
          <rPr>
            <b/>
            <sz val="9"/>
            <color indexed="81"/>
            <rFont val="Tahoma"/>
            <family val="2"/>
          </rPr>
          <t>Živojin Stuparević:</t>
        </r>
        <r>
          <rPr>
            <sz val="9"/>
            <color indexed="81"/>
            <rFont val="Tahoma"/>
            <family val="2"/>
          </rPr>
          <t xml:space="preserve">
PRAVILNIK O UŠTEDAMA</t>
        </r>
      </text>
    </comment>
    <comment ref="L44" authorId="0" shapeId="0" xr:uid="{401BC073-FDC3-4D5A-B7A6-9BB3DDEC2C70}">
      <text>
        <r>
          <rPr>
            <b/>
            <sz val="9"/>
            <color indexed="81"/>
            <rFont val="Tahoma"/>
            <family val="2"/>
          </rPr>
          <t>Živojin Stuparević:</t>
        </r>
        <r>
          <rPr>
            <sz val="9"/>
            <color indexed="81"/>
            <rFont val="Tahoma"/>
            <family val="2"/>
          </rPr>
          <t xml:space="preserve">
PRAVILNIK</t>
        </r>
      </text>
    </comment>
    <comment ref="E47" authorId="0" shapeId="0" xr:uid="{82B0553B-D48F-431C-A4A7-EE66CE6E187C}">
      <text>
        <r>
          <rPr>
            <b/>
            <sz val="9"/>
            <color indexed="81"/>
            <rFont val="Tahoma"/>
            <family val="2"/>
          </rPr>
          <t>Користи се да би ускладили прорачунску вредност потрошње енергента са реалном</t>
        </r>
      </text>
    </comment>
    <comment ref="R52" authorId="0" shapeId="0" xr:uid="{067A64A4-B442-462D-9EF7-65AC7EA87C0D}">
      <text>
        <r>
          <rPr>
            <b/>
            <sz val="9"/>
            <color indexed="81"/>
            <rFont val="Tahoma"/>
            <family val="2"/>
          </rPr>
          <t>17000 kJ/kg</t>
        </r>
      </text>
    </comment>
    <comment ref="R58" authorId="0" shapeId="0" xr:uid="{23CB82B4-7C16-4ED1-B874-B9BE1B0FB8E7}">
      <text>
        <r>
          <rPr>
            <b/>
            <sz val="9"/>
            <color indexed="81"/>
            <rFont val="Tahoma"/>
            <family val="2"/>
          </rPr>
          <t>IZMENITI</t>
        </r>
      </text>
    </comment>
    <comment ref="T58" authorId="0" shapeId="0" xr:uid="{36323338-DD3A-4EC5-91BE-659E735D0E9F}">
      <text>
        <r>
          <rPr>
            <b/>
            <sz val="9"/>
            <color indexed="81"/>
            <rFont val="Tahoma"/>
            <family val="2"/>
          </rPr>
          <t>IZMENITI</t>
        </r>
      </text>
    </comment>
    <comment ref="U58" authorId="0" shapeId="0" xr:uid="{9A2955DB-7317-437A-ABA0-AAE9053FCF38}">
      <text>
        <r>
          <rPr>
            <b/>
            <sz val="9"/>
            <color indexed="81"/>
            <rFont val="Tahoma"/>
            <family val="2"/>
          </rPr>
          <t>IZMENITI</t>
        </r>
      </text>
    </comment>
    <comment ref="V58" authorId="0" shapeId="0" xr:uid="{A928725E-73A2-40F4-A081-FCB833EC78A6}">
      <text>
        <r>
          <rPr>
            <b/>
            <sz val="9"/>
            <color indexed="81"/>
            <rFont val="Tahoma"/>
            <family val="2"/>
          </rPr>
          <t>IZMENITI</t>
        </r>
      </text>
    </comment>
    <comment ref="B85" authorId="0" shapeId="0" xr:uid="{225CFC5B-D25C-45A1-B2C6-CA2FD61498F1}">
      <text>
        <r>
          <rPr>
            <b/>
            <sz val="9"/>
            <color indexed="81"/>
            <rFont val="Tahoma"/>
            <family val="2"/>
          </rPr>
          <t>КОРИГУЈЕ СЕ ПРЕМА СТВАРНОЈ ПОТРОШЊИ ЕНЕРГИЈЕ</t>
        </r>
      </text>
    </comment>
    <comment ref="B86" authorId="0" shapeId="0" xr:uid="{AE333849-8FD4-48AE-804C-75FA7FB216B4}">
      <text>
        <r>
          <rPr>
            <sz val="9"/>
            <color indexed="81"/>
            <rFont val="Tahoma"/>
            <family val="2"/>
          </rPr>
          <t>КОРИГУЈЕ СЕ ПРЕМА СТВАРНОЈ ПОТРОШЊИ ЕНЕРГИЈЕ</t>
        </r>
      </text>
    </comment>
    <comment ref="B90" authorId="0" shapeId="0" xr:uid="{68630DD8-1C10-4823-BDC2-20DF23BC7E93}">
      <text>
        <r>
          <rPr>
            <b/>
            <sz val="9"/>
            <color indexed="81"/>
            <rFont val="Tahoma"/>
            <family val="2"/>
          </rPr>
          <t>КОРИГУЈЕ СЕ ПРЕМА СТВАРНОЈ ПОТРОШЊИ ЕНЕРГИЈЕ</t>
        </r>
      </text>
    </comment>
    <comment ref="B91" authorId="0" shapeId="0" xr:uid="{128CC422-AAD7-4BFE-BB1F-0D5D9A92EBFD}">
      <text>
        <r>
          <rPr>
            <b/>
            <sz val="9"/>
            <color indexed="81"/>
            <rFont val="Tahoma"/>
            <family val="2"/>
          </rPr>
          <t>КОРИГУЈЕ СЕ ПРЕМА СТВАРНОЈ ПОТРОШЊИ ЕНЕРГИЈЕ</t>
        </r>
      </text>
    </comment>
    <comment ref="B119" authorId="0" shapeId="0" xr:uid="{6ACFB112-46D8-4FC4-9E5C-C40510A41B07}">
      <text>
        <r>
          <rPr>
            <b/>
            <sz val="9"/>
            <color indexed="81"/>
            <rFont val="Tahoma"/>
            <family val="2"/>
          </rPr>
          <t>КОРИГУЈЕ СЕ ПРЕМА СТВАРНОЈ ПОТРОШЊИ ЕНЕРГИЈЕ</t>
        </r>
      </text>
    </comment>
    <comment ref="C119" authorId="0" shapeId="0" xr:uid="{DED3925D-C75D-4C90-92C4-8ABC699A191B}">
      <text>
        <r>
          <rPr>
            <b/>
            <sz val="9"/>
            <color indexed="81"/>
            <rFont val="Tahoma"/>
            <family val="2"/>
          </rPr>
          <t>КОРИГУЈЕ СЕ ПРЕМА СТВАРНОЈ ПОТРОШЊИ ЕНЕРГИЈЕ</t>
        </r>
      </text>
    </comment>
    <comment ref="D119" authorId="0" shapeId="0" xr:uid="{9749BE73-C76B-4E13-88A5-993F87A4FD04}">
      <text>
        <r>
          <rPr>
            <b/>
            <sz val="9"/>
            <color indexed="81"/>
            <rFont val="Tahoma"/>
            <family val="2"/>
          </rPr>
          <t>КОРИГУЈЕ СЕ ПРЕМА СТВАРНОЈ ПОТРОШЊИ ЕНЕРГИЈЕ</t>
        </r>
      </text>
    </comment>
    <comment ref="E119" authorId="0" shapeId="0" xr:uid="{46959BB0-142A-4304-BC3B-7BEAC16B17F6}">
      <text>
        <r>
          <rPr>
            <b/>
            <sz val="9"/>
            <color indexed="81"/>
            <rFont val="Tahoma"/>
            <family val="2"/>
          </rPr>
          <t>КОРИГУЈЕ СЕ ПРЕМА СТВАРНОЈ ПОТРОШЊИ ЕНЕРГИЈЕ</t>
        </r>
      </text>
    </comment>
    <comment ref="F119" authorId="0" shapeId="0" xr:uid="{F599B4F0-B547-4F51-9CCD-91E66D9F484E}">
      <text>
        <r>
          <rPr>
            <b/>
            <sz val="9"/>
            <color indexed="81"/>
            <rFont val="Tahoma"/>
            <family val="2"/>
          </rPr>
          <t>КОРИГУЈЕ СЕ ПРЕМА СТВАРНОЈ ПОТРОШЊИ ЕНЕРГИЈЕ</t>
        </r>
      </text>
    </comment>
    <comment ref="B124" authorId="0" shapeId="0" xr:uid="{237EAD8B-292C-42AE-9040-899A5BB1E1E1}">
      <text>
        <r>
          <rPr>
            <b/>
            <sz val="9"/>
            <color indexed="81"/>
            <rFont val="Tahoma"/>
            <family val="2"/>
          </rPr>
          <t>КОРИГУЈЕ СЕ ПРЕМА СТВАРНОЈ ПОТРОШЊИ ЕНЕРГИЈЕ</t>
        </r>
      </text>
    </comment>
    <comment ref="C124" authorId="0" shapeId="0" xr:uid="{AB5EA1F8-7F45-4711-BB81-FC71EFC60190}">
      <text>
        <r>
          <rPr>
            <b/>
            <sz val="9"/>
            <color indexed="81"/>
            <rFont val="Tahoma"/>
            <family val="2"/>
          </rPr>
          <t>КОРИГУЈЕ СЕ ПРЕМА СТВАРНОЈ ПОТРОШЊИ ЕНЕРГИЈЕ</t>
        </r>
      </text>
    </comment>
    <comment ref="D124" authorId="0" shapeId="0" xr:uid="{B0A83E89-2AB1-4F58-8F71-C7995BE9B61F}">
      <text>
        <r>
          <rPr>
            <b/>
            <sz val="9"/>
            <color indexed="81"/>
            <rFont val="Tahoma"/>
            <family val="2"/>
          </rPr>
          <t>КОРИГУЈЕ СЕ ПРЕМА СТВАРНОЈ ПОТРОШЊИ ЕНЕРГИЈЕ</t>
        </r>
      </text>
    </comment>
    <comment ref="E124" authorId="0" shapeId="0" xr:uid="{2C9103A0-B06C-4778-8AA5-AA3E67E00B8C}">
      <text>
        <r>
          <rPr>
            <b/>
            <sz val="9"/>
            <color indexed="81"/>
            <rFont val="Tahoma"/>
            <family val="2"/>
          </rPr>
          <t>КОРИГУЈЕ СЕ ПРЕМА СТВАРНОЈ ПОТРОШЊИ ЕНЕРГИЈЕ</t>
        </r>
      </text>
    </comment>
    <comment ref="F124" authorId="0" shapeId="0" xr:uid="{45E646AB-FB85-47AF-883A-BF0C802C372C}">
      <text>
        <r>
          <rPr>
            <b/>
            <sz val="9"/>
            <color indexed="81"/>
            <rFont val="Tahoma"/>
            <family val="2"/>
          </rPr>
          <t>КОРИГУЈЕ СЕ ПРЕМА СТВАРНОЈ ПОТРОШЊИ ЕНЕРГИЈЕ</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Živojin Stuparević</author>
  </authors>
  <commentList>
    <comment ref="G44" authorId="0" shapeId="0" xr:uid="{D4F8173A-4D7B-4E1A-A500-199979D59437}">
      <text>
        <r>
          <rPr>
            <b/>
            <sz val="9"/>
            <color indexed="81"/>
            <rFont val="Tahoma"/>
            <family val="2"/>
          </rPr>
          <t>17000 kJ/kg</t>
        </r>
      </text>
    </comment>
    <comment ref="G50" authorId="0" shapeId="0" xr:uid="{084598A3-EC93-49A1-829E-CCD33143C522}">
      <text>
        <r>
          <rPr>
            <b/>
            <sz val="9"/>
            <color indexed="81"/>
            <rFont val="Tahoma"/>
            <family val="2"/>
          </rPr>
          <t>IZMENITI</t>
        </r>
      </text>
    </comment>
    <comment ref="I50" authorId="0" shapeId="0" xr:uid="{E6E087A5-8D81-47EF-A302-C77F4DF64D74}">
      <text>
        <r>
          <rPr>
            <b/>
            <sz val="9"/>
            <color indexed="81"/>
            <rFont val="Tahoma"/>
            <family val="2"/>
          </rPr>
          <t>IZMENITI</t>
        </r>
      </text>
    </comment>
    <comment ref="J50" authorId="0" shapeId="0" xr:uid="{9A688966-43DC-4140-9330-92EE47834920}">
      <text>
        <r>
          <rPr>
            <b/>
            <sz val="9"/>
            <color indexed="81"/>
            <rFont val="Tahoma"/>
            <family val="2"/>
          </rPr>
          <t>IZMENITI</t>
        </r>
      </text>
    </comment>
    <comment ref="P50" authorId="0" shapeId="0" xr:uid="{9875EC64-722E-4508-AEB1-FE6A6F35F884}">
      <text>
        <r>
          <rPr>
            <b/>
            <sz val="9"/>
            <color indexed="81"/>
            <rFont val="Tahoma"/>
            <family val="2"/>
          </rPr>
          <t>IZMENITI</t>
        </r>
      </text>
    </comment>
    <comment ref="K94" authorId="0" shapeId="0" xr:uid="{47D54960-AD32-4D8A-BF76-5592D4FAEB38}">
      <text>
        <r>
          <rPr>
            <b/>
            <sz val="9"/>
            <color indexed="81"/>
            <rFont val="Tahoma"/>
            <family val="2"/>
          </rPr>
          <t>УНЕТИ ОДГОВАРАЈУЋУ ВРЕДНОСТ
1 цм-0.083,
2 цм-0.154,
3 цм-0.214,
4 цм-0.286,
5 цм-0.0357,
6 цм-0.429,
7 цм-0.5,
8 цм-0.571,
9 цм-0.643,
10 цм-0.714,
&gt;10 цм-0.714.</t>
        </r>
      </text>
    </comment>
    <comment ref="K99" authorId="0" shapeId="0" xr:uid="{FD90FBD6-8AF2-4770-8999-AE206C6CB611}">
      <text>
        <r>
          <rPr>
            <b/>
            <sz val="9"/>
            <color indexed="81"/>
            <rFont val="Tahoma"/>
            <family val="2"/>
          </rPr>
          <t>ПРОВЕРИТИ
ВРЕДНОСТ</t>
        </r>
      </text>
    </comment>
    <comment ref="K114" authorId="0" shapeId="0" xr:uid="{5925888F-CEEB-457D-BD59-85007ED5B16C}">
      <text>
        <r>
          <rPr>
            <b/>
            <sz val="9"/>
            <color indexed="81"/>
            <rFont val="Tahoma"/>
            <family val="2"/>
          </rPr>
          <t>УНТЕТИ ВРЕДНОСТ
КОЕФИЦИЈЕНТА
ПРОВОЂЕЊА
ТОПЛОТЕ ЗА
НОВИ МАТЕРИЈАЛ</t>
        </r>
      </text>
    </comment>
    <comment ref="E116" authorId="0" shapeId="0" xr:uid="{03DB1C86-3A1E-4E69-B75D-1F5DBD5DF457}">
      <text>
        <r>
          <rPr>
            <b/>
            <sz val="9"/>
            <color indexed="81"/>
            <rFont val="Tahoma"/>
            <family val="2"/>
          </rPr>
          <t>АКО НИЈЕ МОГУЋЕ УТВРДИТИ САСТАВ КОНСТРУКЦИЈЕ КОЈА СЕ ИЗОЛУЈЕ НЕОПХОДНО ЈЕ У ЖУТА ПОЉА УНЕТИ УКУПНУ ДЕБЉИНУ КОНСТРУКЦИЈЕ И ОБАВЕЗНО ОЗНАЧИТИ ТАЧАН ИЛИ ПРОЦЕЊЕН ПЕРИОД ИЗГРАДЊЕ У ПОЉИМА B28-B34
АКО НИ ТО НИЈЕ МОГУЋЕ ОСТАВИТИ ПРАЗНО</t>
        </r>
      </text>
    </comment>
    <comment ref="C132" authorId="0" shapeId="0" xr:uid="{40901B59-901D-4F33-91AE-2BDEDE68B8A6}">
      <text>
        <r>
          <rPr>
            <b/>
            <sz val="9"/>
            <color indexed="81"/>
            <rFont val="Tahoma"/>
            <family val="2"/>
          </rPr>
          <t>УНЕТИ ВРЕДНОСТ
У ИНТЕРВАЛУ ОД 85-100
(ЗА КОНДЕНЗАЦИОНЕ КОТЛОВЕ ВРЕДНОСТ МОЖЕ БИТИ И ВЕЋА ОД 100)</t>
        </r>
      </text>
    </comment>
    <comment ref="C134" authorId="0" shapeId="0" xr:uid="{A85135C8-D8ED-41AC-8D87-2D39D8F802F6}">
      <text>
        <r>
          <rPr>
            <b/>
            <sz val="9"/>
            <color indexed="81"/>
            <rFont val="Tahoma"/>
            <family val="2"/>
          </rPr>
          <t>ИЗАБРАТИ ИЗ
ПАДАЈУЋЕ ЛИСТЕ</t>
        </r>
      </text>
    </comment>
    <comment ref="F170" authorId="0" shapeId="0" xr:uid="{17DF22ED-9A01-424B-A0E9-E20D514B906E}">
      <text>
        <r>
          <rPr>
            <b/>
            <sz val="9"/>
            <color indexed="81"/>
            <rFont val="Tahoma"/>
            <family val="2"/>
          </rPr>
          <t>АКО ПОСТОЈИ ПОДАТАК</t>
        </r>
      </text>
    </comment>
    <comment ref="F171" authorId="0" shapeId="0" xr:uid="{8DE73D0C-AB12-4C82-BAD4-A54628E45413}">
      <text>
        <r>
          <rPr>
            <b/>
            <sz val="9"/>
            <color indexed="81"/>
            <rFont val="Tahoma"/>
            <family val="2"/>
          </rPr>
          <t>АКО ПОСТОЈИ ПОДАТАК</t>
        </r>
      </text>
    </comment>
    <comment ref="F172" authorId="0" shapeId="0" xr:uid="{A4A29DB1-C28A-43FC-A776-C342A47207D1}">
      <text>
        <r>
          <rPr>
            <b/>
            <sz val="9"/>
            <color indexed="81"/>
            <rFont val="Tahoma"/>
            <family val="2"/>
          </rPr>
          <t>АКО ПОСТОЈИ ПОДАТАК</t>
        </r>
      </text>
    </comment>
    <comment ref="C178" authorId="0" shapeId="0" xr:uid="{21AB8686-C356-4C46-95A8-21CB6894C536}">
      <text>
        <r>
          <rPr>
            <b/>
            <sz val="9"/>
            <color indexed="81"/>
            <rFont val="Tahoma"/>
            <family val="2"/>
          </rPr>
          <t>УНЕТИ ВРЕДНОСТ
У ИНТЕРВАЛУ ОД 0-100</t>
        </r>
      </text>
    </comment>
  </commentList>
</comments>
</file>

<file path=xl/sharedStrings.xml><?xml version="1.0" encoding="utf-8"?>
<sst xmlns="http://schemas.openxmlformats.org/spreadsheetml/2006/main" count="1896" uniqueCount="971">
  <si>
    <t>m</t>
  </si>
  <si>
    <t>kW</t>
  </si>
  <si>
    <t>/</t>
  </si>
  <si>
    <t>пре 1945</t>
  </si>
  <si>
    <t>1946-1960</t>
  </si>
  <si>
    <t>1961-1970</t>
  </si>
  <si>
    <t>1971-1980</t>
  </si>
  <si>
    <t>1981-1990</t>
  </si>
  <si>
    <t>1991-2012</t>
  </si>
  <si>
    <t>после 2012</t>
  </si>
  <si>
    <t>дрвени</t>
  </si>
  <si>
    <t xml:space="preserve">челични </t>
  </si>
  <si>
    <t>цигла</t>
  </si>
  <si>
    <t>гитер блок</t>
  </si>
  <si>
    <t>бетонски блок</t>
  </si>
  <si>
    <t>Ytong</t>
  </si>
  <si>
    <t>Сипорекс</t>
  </si>
  <si>
    <t>Камена облога</t>
  </si>
  <si>
    <t>Ваздушни слој</t>
  </si>
  <si>
    <t>бетон</t>
  </si>
  <si>
    <t>Друго (_____________)</t>
  </si>
  <si>
    <t>ЛМТ</t>
  </si>
  <si>
    <t>није могуће утврдити</t>
  </si>
  <si>
    <t>цреп</t>
  </si>
  <si>
    <t>лим</t>
  </si>
  <si>
    <t>летве</t>
  </si>
  <si>
    <t>рогови</t>
  </si>
  <si>
    <t>хидроизолација</t>
  </si>
  <si>
    <t>каратаван</t>
  </si>
  <si>
    <t>угаљ</t>
  </si>
  <si>
    <t>дрво</t>
  </si>
  <si>
    <t>електрична енергија</t>
  </si>
  <si>
    <t>гас</t>
  </si>
  <si>
    <t>топлотна пумпа</t>
  </si>
  <si>
    <t>Произвођач:</t>
  </si>
  <si>
    <t>Тип:</t>
  </si>
  <si>
    <t>Снага:</t>
  </si>
  <si>
    <t>Степен корисности:</t>
  </si>
  <si>
    <t>Нови котао/топлотна пумпа:</t>
  </si>
  <si>
    <t>замене постојеће или уградња нове цевне мреже, грејних тела и пратећег прибора</t>
  </si>
  <si>
    <t>подно</t>
  </si>
  <si>
    <t>двоцевно</t>
  </si>
  <si>
    <t>једноцевно</t>
  </si>
  <si>
    <t>уградња соларних колектора у инсталацију за централну припрему потрошне топле воде</t>
  </si>
  <si>
    <t>извор постојећег грејања ПТВ:</t>
  </si>
  <si>
    <t>Соларни колектори:</t>
  </si>
  <si>
    <t>година изградње:</t>
  </si>
  <si>
    <t>Зорка термо-блок</t>
  </si>
  <si>
    <t>година уградње:</t>
  </si>
  <si>
    <t>постојећа инсталација:</t>
  </si>
  <si>
    <t>тип грејања:</t>
  </si>
  <si>
    <t>укупна снага постојећег грејача за ПТВ:</t>
  </si>
  <si>
    <t>запремина резервоара за ПТВ:</t>
  </si>
  <si>
    <t>НАПОМЕНЕ:</t>
  </si>
  <si>
    <t>Појединачна мера/мере</t>
  </si>
  <si>
    <t>Основни пакет мера</t>
  </si>
  <si>
    <t>Стандардни пакет мера</t>
  </si>
  <si>
    <t>Напредни пакет мера</t>
  </si>
  <si>
    <t>Пријављена мера/мере/пакет мера:</t>
  </si>
  <si>
    <t>Заокружити сваку од пријављених мера:</t>
  </si>
  <si>
    <r>
      <t>m</t>
    </r>
    <r>
      <rPr>
        <vertAlign val="superscript"/>
        <sz val="11"/>
        <color indexed="8"/>
        <rFont val="Calibri"/>
        <family val="2"/>
      </rPr>
      <t>2</t>
    </r>
  </si>
  <si>
    <t>Просечна годишња потрошња горива за грејање (kg,t,m3,динара):</t>
  </si>
  <si>
    <t>ЗАМЕНА СПОЉНИХ ПРОЗОРА И ВРАТА - МЕРА 1) из јавног позива</t>
  </si>
  <si>
    <t>дрвена</t>
  </si>
  <si>
    <t>метална</t>
  </si>
  <si>
    <t>конструкција:</t>
  </si>
  <si>
    <t>малтер</t>
  </si>
  <si>
    <t>испуна (_____________)</t>
  </si>
  <si>
    <t>плочице</t>
  </si>
  <si>
    <t>паркет</t>
  </si>
  <si>
    <t>ламинат</t>
  </si>
  <si>
    <t>бродски под</t>
  </si>
  <si>
    <t>кошуљица</t>
  </si>
  <si>
    <t>ако није могуће утврдити уписати укупну дебљину конструкције</t>
  </si>
  <si>
    <t>гипс-картон плоча</t>
  </si>
  <si>
    <t>ПОСТАВЉАЊЕ ТЕРМИЧКЕ ИЗОЛАЦИЈЕ – МЕРЕ 2) и 3) из Јавног позива</t>
  </si>
  <si>
    <t>ЗАМЕНА ПОСТОЈЕЋЕГ ГРЕЈАЧА КОТЛОМ НА ГАС ИЛИ ПЕЛЕТ ИЛИ УГРАДЊА ТОПЛОТНЕ ПУМПЕ</t>
  </si>
  <si>
    <t xml:space="preserve">  - МЕРЕ 4), 5) или 6) из Јавног позива       </t>
  </si>
  <si>
    <t>постојећа изолација - стиропор  (EPS)</t>
  </si>
  <si>
    <t>постојећа изолација - стиродур (XPS)</t>
  </si>
  <si>
    <t>постојећа изолација - минерална вуна</t>
  </si>
  <si>
    <t>%</t>
  </si>
  <si>
    <r>
      <rPr>
        <sz val="11"/>
        <color indexed="10"/>
        <rFont val="Symbol"/>
        <family val="1"/>
        <charset val="2"/>
      </rPr>
      <t>l</t>
    </r>
    <r>
      <rPr>
        <sz val="11"/>
        <color indexed="10"/>
        <rFont val="Calibri"/>
        <family val="2"/>
        <charset val="238"/>
      </rPr>
      <t xml:space="preserve"> (W/mK)</t>
    </r>
  </si>
  <si>
    <t>кров</t>
  </si>
  <si>
    <r>
      <t>W/m</t>
    </r>
    <r>
      <rPr>
        <vertAlign val="superscript"/>
        <sz val="11"/>
        <color indexed="10"/>
        <rFont val="Calibri"/>
        <family val="2"/>
      </rPr>
      <t>2</t>
    </r>
    <r>
      <rPr>
        <sz val="11"/>
        <color indexed="10"/>
        <rFont val="Calibri"/>
        <family val="2"/>
        <charset val="238"/>
      </rPr>
      <t>K</t>
    </r>
  </si>
  <si>
    <t>течно гориво</t>
  </si>
  <si>
    <t>Рашка</t>
  </si>
  <si>
    <t>НАПОМЕНЕ</t>
  </si>
  <si>
    <t>Нису узети у обзир добици топлоте од људи, ел.уређаја и сунца</t>
  </si>
  <si>
    <t>УЛАЗНИ ПОДАЦИ:</t>
  </si>
  <si>
    <t>Општина:</t>
  </si>
  <si>
    <t>Број степен дана ( HDD ):</t>
  </si>
  <si>
    <t>Постојећа констукција:</t>
  </si>
  <si>
    <t>Укупна дебљина конструкције:</t>
  </si>
  <si>
    <t>Спољни зид</t>
  </si>
  <si>
    <t>Под на тлу</t>
  </si>
  <si>
    <t>Под изнад негрејаног простора</t>
  </si>
  <si>
    <t>Унутрашњи зид ка негрејаном простору</t>
  </si>
  <si>
    <t xml:space="preserve">МЕРА 2) и/или МЕРА 3) - постављања термичке изолације на спољним зидовима, подовима на тлу и осталим </t>
  </si>
  <si>
    <t>деловимаа термичког омотача према негрејаном простору, као и у крову и на таваници</t>
  </si>
  <si>
    <t>Кров изнад грејаног простора</t>
  </si>
  <si>
    <t>Таваница испод негрејаног простора</t>
  </si>
  <si>
    <t>МЕРА 2)-Спољни, унутрашњи зид или под</t>
  </si>
  <si>
    <t>МЕРА 3)-Кров или таваница</t>
  </si>
  <si>
    <r>
      <t>Rsi+Rse ( m</t>
    </r>
    <r>
      <rPr>
        <vertAlign val="superscript"/>
        <sz val="11"/>
        <color indexed="8"/>
        <rFont val="Calibri"/>
        <family val="2"/>
      </rPr>
      <t>2</t>
    </r>
    <r>
      <rPr>
        <sz val="11"/>
        <color theme="1"/>
        <rFont val="Calibri"/>
        <family val="2"/>
        <charset val="238"/>
        <scheme val="minor"/>
      </rPr>
      <t xml:space="preserve">K/W ) - </t>
    </r>
  </si>
  <si>
    <r>
      <t>површина за изолацију ( m</t>
    </r>
    <r>
      <rPr>
        <vertAlign val="superscript"/>
        <sz val="11"/>
        <color indexed="8"/>
        <rFont val="Calibri"/>
        <family val="2"/>
      </rPr>
      <t>2</t>
    </r>
    <r>
      <rPr>
        <sz val="11"/>
        <color theme="1"/>
        <rFont val="Calibri"/>
        <family val="2"/>
        <charset val="238"/>
        <scheme val="minor"/>
      </rPr>
      <t xml:space="preserve"> ) - </t>
    </r>
  </si>
  <si>
    <t>Ht` ( W/K ) -</t>
  </si>
  <si>
    <t xml:space="preserve">Фактор корекције Fxi - </t>
  </si>
  <si>
    <r>
      <t>Riz ( m</t>
    </r>
    <r>
      <rPr>
        <vertAlign val="superscript"/>
        <sz val="11"/>
        <color indexed="8"/>
        <rFont val="Calibri"/>
        <family val="2"/>
      </rPr>
      <t>2</t>
    </r>
    <r>
      <rPr>
        <sz val="11"/>
        <color theme="1"/>
        <rFont val="Calibri"/>
        <family val="2"/>
        <charset val="238"/>
        <scheme val="minor"/>
      </rPr>
      <t xml:space="preserve">K/W ) - </t>
    </r>
  </si>
  <si>
    <r>
      <t>Rnovo ( m</t>
    </r>
    <r>
      <rPr>
        <vertAlign val="superscript"/>
        <sz val="11"/>
        <color indexed="8"/>
        <rFont val="Calibri"/>
        <family val="2"/>
      </rPr>
      <t>2</t>
    </r>
    <r>
      <rPr>
        <sz val="11"/>
        <color theme="1"/>
        <rFont val="Calibri"/>
        <family val="2"/>
        <charset val="238"/>
        <scheme val="minor"/>
      </rPr>
      <t xml:space="preserve">K/W ) - </t>
    </r>
  </si>
  <si>
    <t>Ht`novo ( W/K ) -</t>
  </si>
  <si>
    <r>
      <t>Upost ( W/m</t>
    </r>
    <r>
      <rPr>
        <vertAlign val="superscript"/>
        <sz val="11"/>
        <color indexed="8"/>
        <rFont val="Calibri"/>
        <family val="2"/>
      </rPr>
      <t>2</t>
    </r>
    <r>
      <rPr>
        <sz val="11"/>
        <color theme="1"/>
        <rFont val="Calibri"/>
        <family val="2"/>
        <charset val="238"/>
        <scheme val="minor"/>
      </rPr>
      <t xml:space="preserve">K ) - </t>
    </r>
  </si>
  <si>
    <r>
      <t>Unovo ( W/m</t>
    </r>
    <r>
      <rPr>
        <vertAlign val="superscript"/>
        <sz val="11"/>
        <color indexed="8"/>
        <rFont val="Calibri"/>
        <family val="2"/>
      </rPr>
      <t>2</t>
    </r>
    <r>
      <rPr>
        <sz val="11"/>
        <color theme="1"/>
        <rFont val="Calibri"/>
        <family val="2"/>
        <charset val="238"/>
        <scheme val="minor"/>
      </rPr>
      <t xml:space="preserve">K ) - </t>
    </r>
  </si>
  <si>
    <t>УОБИЧАЈЕНЕ ГРАЂЕВИНСКЕ КОНСТРУКЦИЈЕ КОЈЕ СЕ ИЗОЛУЈУ</t>
  </si>
  <si>
    <t xml:space="preserve">МЕРА 1) - замена спољних прозора и врата </t>
  </si>
  <si>
    <t>Постојећи прозори:</t>
  </si>
  <si>
    <t>Нови прозори:</t>
  </si>
  <si>
    <r>
      <t>Upost ( W/m</t>
    </r>
    <r>
      <rPr>
        <vertAlign val="superscript"/>
        <sz val="11"/>
        <color indexed="8"/>
        <rFont val="Calibri"/>
        <family val="2"/>
      </rPr>
      <t>2</t>
    </r>
    <r>
      <rPr>
        <sz val="11"/>
        <color theme="1"/>
        <rFont val="Calibri"/>
        <family val="2"/>
        <charset val="238"/>
        <scheme val="minor"/>
      </rPr>
      <t>K ) =</t>
    </r>
  </si>
  <si>
    <r>
      <t>Unovo ( W/m</t>
    </r>
    <r>
      <rPr>
        <vertAlign val="superscript"/>
        <sz val="11"/>
        <color indexed="8"/>
        <rFont val="Calibri"/>
        <family val="2"/>
      </rPr>
      <t>2</t>
    </r>
    <r>
      <rPr>
        <sz val="11"/>
        <color theme="1"/>
        <rFont val="Calibri"/>
        <family val="2"/>
        <charset val="238"/>
        <scheme val="minor"/>
      </rPr>
      <t>K ) =</t>
    </r>
  </si>
  <si>
    <t>Постојећa врата:</t>
  </si>
  <si>
    <t>Нова врата:</t>
  </si>
  <si>
    <r>
      <t>A ( m</t>
    </r>
    <r>
      <rPr>
        <vertAlign val="superscript"/>
        <sz val="11"/>
        <color indexed="8"/>
        <rFont val="Calibri"/>
        <family val="2"/>
      </rPr>
      <t>2</t>
    </r>
    <r>
      <rPr>
        <sz val="11"/>
        <color theme="1"/>
        <rFont val="Calibri"/>
        <family val="2"/>
        <charset val="238"/>
        <scheme val="minor"/>
      </rPr>
      <t xml:space="preserve"> ) =</t>
    </r>
  </si>
  <si>
    <t xml:space="preserve"> - укупна површина прозора који се мењају</t>
  </si>
  <si>
    <t xml:space="preserve"> - укупна површина врата која се мењају</t>
  </si>
  <si>
    <r>
      <t>Q</t>
    </r>
    <r>
      <rPr>
        <vertAlign val="subscript"/>
        <sz val="11"/>
        <color indexed="8"/>
        <rFont val="Calibri"/>
        <family val="2"/>
      </rPr>
      <t>T_novo</t>
    </r>
    <r>
      <rPr>
        <sz val="11"/>
        <color indexed="8"/>
        <rFont val="Calibri"/>
        <family val="2"/>
      </rPr>
      <t xml:space="preserve"> ( W/m</t>
    </r>
    <r>
      <rPr>
        <vertAlign val="superscript"/>
        <sz val="11"/>
        <color indexed="8"/>
        <rFont val="Calibri"/>
        <family val="2"/>
      </rPr>
      <t>2</t>
    </r>
    <r>
      <rPr>
        <sz val="11"/>
        <color indexed="8"/>
        <rFont val="Calibri"/>
        <family val="2"/>
      </rPr>
      <t>K )</t>
    </r>
  </si>
  <si>
    <r>
      <t>Q</t>
    </r>
    <r>
      <rPr>
        <vertAlign val="subscript"/>
        <sz val="11"/>
        <color indexed="8"/>
        <rFont val="Calibri"/>
        <family val="2"/>
      </rPr>
      <t>T_post</t>
    </r>
    <r>
      <rPr>
        <sz val="11"/>
        <color indexed="8"/>
        <rFont val="Calibri"/>
        <family val="2"/>
      </rPr>
      <t xml:space="preserve"> ( kWh/god )</t>
    </r>
  </si>
  <si>
    <t xml:space="preserve"> - годишњи трансмисиони губици топлоте за постојеће прозоре</t>
  </si>
  <si>
    <t xml:space="preserve"> - годишњи трансмисиони губици топлоте за нове прозоре</t>
  </si>
  <si>
    <r>
      <t>Q</t>
    </r>
    <r>
      <rPr>
        <vertAlign val="subscript"/>
        <sz val="11"/>
        <color indexed="8"/>
        <rFont val="Calibri"/>
        <family val="2"/>
      </rPr>
      <t>T_ušteda</t>
    </r>
    <r>
      <rPr>
        <sz val="11"/>
        <color indexed="8"/>
        <rFont val="Calibri"/>
        <family val="2"/>
      </rPr>
      <t xml:space="preserve"> ( kWh/god )</t>
    </r>
  </si>
  <si>
    <t xml:space="preserve"> - годишња уштеда због смањења трансмисионих губитака</t>
  </si>
  <si>
    <r>
      <t>Q</t>
    </r>
    <r>
      <rPr>
        <vertAlign val="subscript"/>
        <sz val="11"/>
        <color indexed="8"/>
        <rFont val="Calibri"/>
        <family val="2"/>
      </rPr>
      <t>V_post</t>
    </r>
    <r>
      <rPr>
        <sz val="11"/>
        <color indexed="8"/>
        <rFont val="Calibri"/>
        <family val="2"/>
      </rPr>
      <t xml:space="preserve"> ( kWh/god )</t>
    </r>
  </si>
  <si>
    <r>
      <t>Q</t>
    </r>
    <r>
      <rPr>
        <vertAlign val="subscript"/>
        <sz val="11"/>
        <color indexed="8"/>
        <rFont val="Calibri"/>
        <family val="2"/>
      </rPr>
      <t>V_novo</t>
    </r>
    <r>
      <rPr>
        <sz val="11"/>
        <color indexed="8"/>
        <rFont val="Calibri"/>
        <family val="2"/>
      </rPr>
      <t xml:space="preserve"> ( W/m</t>
    </r>
    <r>
      <rPr>
        <vertAlign val="superscript"/>
        <sz val="11"/>
        <color indexed="8"/>
        <rFont val="Calibri"/>
        <family val="2"/>
      </rPr>
      <t>2</t>
    </r>
    <r>
      <rPr>
        <sz val="11"/>
        <color indexed="8"/>
        <rFont val="Calibri"/>
        <family val="2"/>
      </rPr>
      <t>K )</t>
    </r>
  </si>
  <si>
    <r>
      <t>Q</t>
    </r>
    <r>
      <rPr>
        <vertAlign val="subscript"/>
        <sz val="11"/>
        <color indexed="8"/>
        <rFont val="Calibri"/>
        <family val="2"/>
      </rPr>
      <t>V_ušteda</t>
    </r>
    <r>
      <rPr>
        <sz val="11"/>
        <color indexed="8"/>
        <rFont val="Calibri"/>
        <family val="2"/>
      </rPr>
      <t xml:space="preserve"> ( kWh/god )</t>
    </r>
  </si>
  <si>
    <r>
      <t>Q</t>
    </r>
    <r>
      <rPr>
        <b/>
        <vertAlign val="subscript"/>
        <sz val="11"/>
        <color indexed="8"/>
        <rFont val="Calibri"/>
        <family val="2"/>
      </rPr>
      <t>UKUPNA_ušteda</t>
    </r>
    <r>
      <rPr>
        <b/>
        <sz val="11"/>
        <color indexed="8"/>
        <rFont val="Calibri"/>
        <family val="2"/>
      </rPr>
      <t xml:space="preserve"> ( kWh/god )</t>
    </r>
  </si>
  <si>
    <t>Потрошња топлотне енергије:</t>
  </si>
  <si>
    <t>Нова потрошња ( kWh/god ) -</t>
  </si>
  <si>
    <t>Годишња потрошња ( kWh/god ) -</t>
  </si>
  <si>
    <r>
      <t>q</t>
    </r>
    <r>
      <rPr>
        <vertAlign val="subscript"/>
        <sz val="11"/>
        <color indexed="8"/>
        <rFont val="Calibri"/>
        <family val="2"/>
      </rPr>
      <t>H,ND</t>
    </r>
    <r>
      <rPr>
        <sz val="11"/>
        <color theme="1"/>
        <rFont val="Calibri"/>
        <family val="2"/>
        <charset val="238"/>
        <scheme val="minor"/>
      </rPr>
      <t xml:space="preserve"> ( kWh/m</t>
    </r>
    <r>
      <rPr>
        <vertAlign val="superscript"/>
        <sz val="11"/>
        <color indexed="8"/>
        <rFont val="Calibri"/>
        <family val="2"/>
      </rPr>
      <t>2</t>
    </r>
    <r>
      <rPr>
        <sz val="11"/>
        <color theme="1"/>
        <rFont val="Calibri"/>
        <family val="2"/>
        <charset val="238"/>
        <scheme val="minor"/>
      </rPr>
      <t xml:space="preserve"> god )</t>
    </r>
  </si>
  <si>
    <r>
      <t>Q</t>
    </r>
    <r>
      <rPr>
        <vertAlign val="subscript"/>
        <sz val="11"/>
        <color indexed="8"/>
        <rFont val="Calibri"/>
        <family val="2"/>
      </rPr>
      <t>H,ND</t>
    </r>
    <r>
      <rPr>
        <sz val="11"/>
        <color theme="1"/>
        <rFont val="Calibri"/>
        <family val="2"/>
        <charset val="238"/>
        <scheme val="minor"/>
      </rPr>
      <t xml:space="preserve"> ( kWh/god )</t>
    </r>
  </si>
  <si>
    <r>
      <t>Q</t>
    </r>
    <r>
      <rPr>
        <b/>
        <vertAlign val="subscript"/>
        <sz val="11"/>
        <color indexed="8"/>
        <rFont val="Calibri"/>
        <family val="2"/>
      </rPr>
      <t>H,ND</t>
    </r>
    <r>
      <rPr>
        <b/>
        <sz val="11"/>
        <color indexed="8"/>
        <rFont val="Calibri"/>
        <family val="2"/>
      </rPr>
      <t xml:space="preserve"> ( kWh/god ) =</t>
    </r>
  </si>
  <si>
    <t>даљинско грејање</t>
  </si>
  <si>
    <t>година изградње</t>
  </si>
  <si>
    <t>извор постојећег грејања</t>
  </si>
  <si>
    <r>
      <t>Q</t>
    </r>
    <r>
      <rPr>
        <b/>
        <vertAlign val="subscript"/>
        <sz val="11"/>
        <color indexed="8"/>
        <rFont val="Calibri"/>
        <family val="2"/>
      </rPr>
      <t>H,LS</t>
    </r>
    <r>
      <rPr>
        <b/>
        <sz val="11"/>
        <color indexed="8"/>
        <rFont val="Calibri"/>
        <family val="2"/>
      </rPr>
      <t xml:space="preserve"> ( kWh/god )</t>
    </r>
  </si>
  <si>
    <t>h</t>
  </si>
  <si>
    <r>
      <t>h</t>
    </r>
    <r>
      <rPr>
        <vertAlign val="subscript"/>
        <sz val="11"/>
        <color indexed="8"/>
        <rFont val="Calibri"/>
        <family val="2"/>
      </rPr>
      <t>k</t>
    </r>
  </si>
  <si>
    <r>
      <t>h</t>
    </r>
    <r>
      <rPr>
        <vertAlign val="subscript"/>
        <sz val="11"/>
        <color indexed="8"/>
        <rFont val="Calibri"/>
        <family val="2"/>
      </rPr>
      <t>c</t>
    </r>
  </si>
  <si>
    <r>
      <t>h</t>
    </r>
    <r>
      <rPr>
        <vertAlign val="subscript"/>
        <sz val="11"/>
        <color indexed="8"/>
        <rFont val="Calibri"/>
        <family val="2"/>
      </rPr>
      <t>r</t>
    </r>
  </si>
  <si>
    <t>ГУБИЦИ</t>
  </si>
  <si>
    <t>котао</t>
  </si>
  <si>
    <t>инсталац.</t>
  </si>
  <si>
    <t>регулац.</t>
  </si>
  <si>
    <t>укупно</t>
  </si>
  <si>
    <t>пелет</t>
  </si>
  <si>
    <t>ПРИМАРНА ЕНЕРГИЈА</t>
  </si>
  <si>
    <r>
      <t>Q</t>
    </r>
    <r>
      <rPr>
        <b/>
        <vertAlign val="subscript"/>
        <sz val="11"/>
        <color indexed="8"/>
        <rFont val="Calibri"/>
        <family val="2"/>
      </rPr>
      <t>PRIM</t>
    </r>
    <r>
      <rPr>
        <b/>
        <sz val="11"/>
        <color indexed="8"/>
        <rFont val="Calibri"/>
        <family val="2"/>
      </rPr>
      <t xml:space="preserve"> ( kWh/god )</t>
    </r>
  </si>
  <si>
    <t>степен корисности постојећи</t>
  </si>
  <si>
    <t>степен корисности нови</t>
  </si>
  <si>
    <t>Метеоролошка станица</t>
  </si>
  <si>
    <r>
      <t>Географска  дужина (1/10</t>
    </r>
    <r>
      <rPr>
        <b/>
        <sz val="11"/>
        <color indexed="8"/>
        <rFont val="Calibri"/>
        <family val="2"/>
      </rPr>
      <t>°</t>
    </r>
    <r>
      <rPr>
        <b/>
        <sz val="11"/>
        <color indexed="8"/>
        <rFont val="Calibri"/>
        <family val="2"/>
      </rPr>
      <t>)</t>
    </r>
  </si>
  <si>
    <t>Географска  ширина (1/10°)</t>
  </si>
  <si>
    <t>Надморска висина         (m)</t>
  </si>
  <si>
    <t>Степен дани грејања 1991-2020</t>
  </si>
  <si>
    <t>ИСПОРУЧЕНА  ЕНЕРГИЈА</t>
  </si>
  <si>
    <t>БРОЈ ИЗМЕНА ВАЗДУХА</t>
  </si>
  <si>
    <t>ЗАПТИВЕНОСТ</t>
  </si>
  <si>
    <t>ДОБРА</t>
  </si>
  <si>
    <t>СРЕДЊА</t>
  </si>
  <si>
    <t>ЛОША</t>
  </si>
  <si>
    <t>Отворен положај</t>
  </si>
  <si>
    <t>Умерено заклоњен</t>
  </si>
  <si>
    <t>Веома заклоњен</t>
  </si>
  <si>
    <r>
      <t>m</t>
    </r>
    <r>
      <rPr>
        <vertAlign val="superscript"/>
        <sz val="11"/>
        <color indexed="8"/>
        <rFont val="Calibri"/>
        <family val="2"/>
      </rPr>
      <t>3</t>
    </r>
  </si>
  <si>
    <t>Запремина грејаног дела</t>
  </si>
  <si>
    <t xml:space="preserve"> - заптивеност-број измена ваздуха у стању после санације</t>
  </si>
  <si>
    <t xml:space="preserve"> - заптивеност-број измена ваздуха у постојећем стању</t>
  </si>
  <si>
    <r>
      <t>Q</t>
    </r>
    <r>
      <rPr>
        <b/>
        <vertAlign val="subscript"/>
        <sz val="11"/>
        <color indexed="8"/>
        <rFont val="Calibri"/>
        <family val="2"/>
      </rPr>
      <t>H</t>
    </r>
    <r>
      <rPr>
        <b/>
        <sz val="11"/>
        <color indexed="8"/>
        <rFont val="Calibri"/>
        <family val="2"/>
      </rPr>
      <t xml:space="preserve"> ( kWh/god ) =</t>
    </r>
  </si>
  <si>
    <r>
      <t>Q</t>
    </r>
    <r>
      <rPr>
        <b/>
        <vertAlign val="subscript"/>
        <sz val="11"/>
        <color indexed="8"/>
        <rFont val="Calibri"/>
        <family val="2"/>
      </rPr>
      <t>H,DEL</t>
    </r>
    <r>
      <rPr>
        <b/>
        <sz val="11"/>
        <color indexed="8"/>
        <rFont val="Calibri"/>
        <family val="2"/>
      </rPr>
      <t xml:space="preserve"> ( kWh/god )</t>
    </r>
  </si>
  <si>
    <r>
      <t>Q</t>
    </r>
    <r>
      <rPr>
        <b/>
        <vertAlign val="subscript"/>
        <sz val="11"/>
        <color indexed="8"/>
        <rFont val="Calibri"/>
        <family val="2"/>
      </rPr>
      <t>H,DEL</t>
    </r>
    <r>
      <rPr>
        <b/>
        <sz val="11"/>
        <color indexed="8"/>
        <rFont val="Calibri"/>
        <family val="2"/>
      </rPr>
      <t xml:space="preserve"> ( kWh/god ) =</t>
    </r>
  </si>
  <si>
    <t xml:space="preserve"> - степен корисности постојећег котла</t>
  </si>
  <si>
    <t xml:space="preserve"> - степен корисности новог котла</t>
  </si>
  <si>
    <t xml:space="preserve"> - ИСПОРУЧЕНА ЕНЕРГИЈЕ ПРЕ САНАЦИЈЕ</t>
  </si>
  <si>
    <t xml:space="preserve"> - УШТЕДА ИСПОРУЧЕНЕ ЕНЕРГИЈЕ</t>
  </si>
  <si>
    <t xml:space="preserve"> - УШТЕДА ИСПОРУЧЕНЕ ЕНЕРГИЈЕ ОСТВАРЕНА ЗАМЕНОМ КОТЛА</t>
  </si>
  <si>
    <t xml:space="preserve"> - степен корисности постојеће цевне мреже</t>
  </si>
  <si>
    <t xml:space="preserve"> - степен корисности постојеће регулације</t>
  </si>
  <si>
    <t xml:space="preserve"> - степен корисности нове цевне мреже</t>
  </si>
  <si>
    <t xml:space="preserve"> - степен корисности нове регулације</t>
  </si>
  <si>
    <t xml:space="preserve"> - ИЗВРШЕНА САНАЦИЈА ТЕРМИЧКОГ ОМОТАЧА</t>
  </si>
  <si>
    <t xml:space="preserve"> - степен корисности постојећег постројења</t>
  </si>
  <si>
    <t xml:space="preserve"> - фактор претварања примарне енергије</t>
  </si>
  <si>
    <r>
      <t>Q</t>
    </r>
    <r>
      <rPr>
        <b/>
        <vertAlign val="subscript"/>
        <sz val="11"/>
        <color indexed="8"/>
        <rFont val="Calibri"/>
        <family val="2"/>
      </rPr>
      <t>H,PR</t>
    </r>
    <r>
      <rPr>
        <b/>
        <sz val="11"/>
        <color indexed="8"/>
        <rFont val="Calibri"/>
        <family val="2"/>
      </rPr>
      <t xml:space="preserve"> ( kWh/god ) =</t>
    </r>
  </si>
  <si>
    <t>kWh</t>
  </si>
  <si>
    <t>фактор претварања прим. ен.</t>
  </si>
  <si>
    <t>Hd (kJ/kg)</t>
  </si>
  <si>
    <t>Година изградње:</t>
  </si>
  <si>
    <t>Висина грејаног дела (чиста):</t>
  </si>
  <si>
    <t>Површина грејаног дела:</t>
  </si>
  <si>
    <t>Коеф.прекида грејања</t>
  </si>
  <si>
    <t xml:space="preserve"> - УШТЕДА ПРИМАРНЕ ЕНЕРГИЈЕ</t>
  </si>
  <si>
    <t>мерама 1,2,3</t>
  </si>
  <si>
    <t>УШТЕДА (дин.)</t>
  </si>
  <si>
    <t>ГОДИШЊА ЦЕНА ПОТРЕБНЕ КОЛИЧИНЕ ЕНЕРГЕНТА</t>
  </si>
  <si>
    <t xml:space="preserve"> - УШТЕДА ( дин. ) </t>
  </si>
  <si>
    <t xml:space="preserve"> - СМАЊЕЊЕ ГОДИШЊЕ ЕМИСИЈА CO2 ( kg )</t>
  </si>
  <si>
    <t>Број чланова домаћинства:</t>
  </si>
  <si>
    <t>МЕРА 8) - уградња соларних колектора у инсталацију за централну припрему потрошне топле воде</t>
  </si>
  <si>
    <t xml:space="preserve"> - број чланова домаћинства</t>
  </si>
  <si>
    <r>
      <t>Q</t>
    </r>
    <r>
      <rPr>
        <b/>
        <vertAlign val="subscript"/>
        <sz val="11"/>
        <color indexed="8"/>
        <rFont val="Calibri"/>
        <family val="2"/>
      </rPr>
      <t>W,DEL</t>
    </r>
    <r>
      <rPr>
        <b/>
        <sz val="11"/>
        <color indexed="8"/>
        <rFont val="Calibri"/>
        <family val="2"/>
      </rPr>
      <t xml:space="preserve"> ( kWh/god ) =</t>
    </r>
  </si>
  <si>
    <t xml:space="preserve"> - ГОДИШЊА ИСПОРУЧЕНА ЕНЕРГИЈЕ ЗА ПРИПРЕМУ ПТВ</t>
  </si>
  <si>
    <t xml:space="preserve"> - енергент за припрему ПТВ</t>
  </si>
  <si>
    <t>kWh/m2</t>
  </si>
  <si>
    <t xml:space="preserve"> - дневна потреба ПТВ по особи ( литара )</t>
  </si>
  <si>
    <r>
      <t xml:space="preserve"> -температура ПТВ ( </t>
    </r>
    <r>
      <rPr>
        <sz val="11"/>
        <color indexed="8"/>
        <rFont val="Calibri"/>
        <family val="2"/>
      </rPr>
      <t>°</t>
    </r>
    <r>
      <rPr>
        <sz val="11"/>
        <color theme="1"/>
        <rFont val="Calibri"/>
        <family val="2"/>
        <charset val="238"/>
        <scheme val="minor"/>
      </rPr>
      <t>C )</t>
    </r>
  </si>
  <si>
    <r>
      <t xml:space="preserve"> -температура напојне воде ( </t>
    </r>
    <r>
      <rPr>
        <sz val="11"/>
        <color indexed="8"/>
        <rFont val="Calibri"/>
        <family val="2"/>
      </rPr>
      <t>°</t>
    </r>
    <r>
      <rPr>
        <sz val="11"/>
        <color theme="1"/>
        <rFont val="Calibri"/>
        <family val="2"/>
        <charset val="238"/>
        <scheme val="minor"/>
      </rPr>
      <t>C )</t>
    </r>
  </si>
  <si>
    <r>
      <t xml:space="preserve"> - површина инсталираних соларних колектора ( m</t>
    </r>
    <r>
      <rPr>
        <vertAlign val="superscript"/>
        <sz val="11"/>
        <color indexed="8"/>
        <rFont val="Calibri"/>
        <family val="2"/>
      </rPr>
      <t>2</t>
    </r>
    <r>
      <rPr>
        <sz val="11"/>
        <color indexed="8"/>
        <rFont val="Calibri"/>
        <family val="2"/>
      </rPr>
      <t xml:space="preserve"> )</t>
    </r>
  </si>
  <si>
    <t xml:space="preserve"> - УШТЕДА ИСПОРУЧЕНЕ ЕНЕРГИЈЕ ПОСЛЕ УГРАДЊЕ СОЛАРНИХ КОЛЕКТОРА</t>
  </si>
  <si>
    <t xml:space="preserve"> - извршена уградња соларних колектора</t>
  </si>
  <si>
    <t xml:space="preserve"> - ЦЕНА ЕНЕРГИЈЕ  ПОСТОЈЕЋЕГ СИСТЕМА ЗА ПТВ НА ГОДИШЊЕМ НИВОУ ( дин. ) </t>
  </si>
  <si>
    <t xml:space="preserve"> - цена једног kWh за припрему ПТВ ( дин./kWh )</t>
  </si>
  <si>
    <t xml:space="preserve"> - извршена уградња топлотне пумпе</t>
  </si>
  <si>
    <t xml:space="preserve"> - извршена замена </t>
  </si>
  <si>
    <t xml:space="preserve"> - извршена замена прозора</t>
  </si>
  <si>
    <t xml:space="preserve"> - уграђена изолација на крову/таваници</t>
  </si>
  <si>
    <t xml:space="preserve"> - уграђена изолација на фасади</t>
  </si>
  <si>
    <t xml:space="preserve"> - фактор претварања примарне енергије постојећег постројења</t>
  </si>
  <si>
    <t xml:space="preserve"> - фактор претварања примарне енергије новог постројења</t>
  </si>
  <si>
    <t>ПРЕГЛЕД ПАРАМЕТАРА ПРЕ И ПОСЛЕ САНАЦИЈЕ ТЕРМИЧКОГ ОМОТАЧА</t>
  </si>
  <si>
    <t xml:space="preserve"> - ИСПОРУЧЕНА ЕНЕРГИЈЕ ПОСЛЕ САНАЦИЈЕ</t>
  </si>
  <si>
    <t xml:space="preserve"> - ГОДИШЊА ЕМИСИЈА CO2 НА ГОДИШЊЕМ НИВОУ ПРЕ ЗАМЕНЕ НАЧИНА ГРЕЈАЊА( kg )</t>
  </si>
  <si>
    <t xml:space="preserve"> - ГОДИШЊА ЕМИСИЈА CO2 НА ГОДИШЊЕМ НИВОУ ПОСЛЕ ЗАМЕНЕ НАЧИНА ГРЕЈАЊА( kg )</t>
  </si>
  <si>
    <t xml:space="preserve"> - SCOP</t>
  </si>
  <si>
    <t xml:space="preserve"> - цена једног kWh</t>
  </si>
  <si>
    <t>Енергент:</t>
  </si>
  <si>
    <t xml:space="preserve"> - ПРИМАРНА ЕНЕРГИЈА  ПРЕ УГРАДЊЕ СОЛАРНИХ КОЛЕКТОРА</t>
  </si>
  <si>
    <t xml:space="preserve"> - ПРИМАРНА ЕНЕРГИЈА  ПОСЛЕ УГРАДЊЕ СОЛАРНИХ КОЛЕКТОРА</t>
  </si>
  <si>
    <t xml:space="preserve"> - ЦЕНА ЕНЕРГИЈЕ  СИСТЕМА ЗА ПТВ ПОСЛЕ УГРАДЊЕ СОЛАРНИХ КОЛЕКТОРА ( дин. ) </t>
  </si>
  <si>
    <t xml:space="preserve"> - ГОДИШЊА ИСПОРУЧЕНА ЕНЕРГИЈА ПОСЛЕ УГРАДЊЕ СОЛАРНИХ КОЛЕКТОРА</t>
  </si>
  <si>
    <t xml:space="preserve"> - ГОДИШЊА ЕМИСИЈА CO2 НА ГОДИШЊЕМ НИВОУ ПРЕ УГРАДЊЕ СОЛАРНИХ КОЛЕКТОРА( kg )</t>
  </si>
  <si>
    <t xml:space="preserve"> - ГОДИШЊА ЕМИСИЈА CO2 НА ГОДИШЊЕМ НИВОУ ПОСЛЕ УГРАДЊЕ СОЛАРНИХ КОЛЕКТОРА( kg )</t>
  </si>
  <si>
    <t xml:space="preserve"> - ПРИМАРНА ЕНЕРГИЈА  ПРЕ САНАЦИЈЕ ТЕРМИЧКОГ ОМОТАЧА</t>
  </si>
  <si>
    <t xml:space="preserve"> - ПРИМАРНА ЕНЕРГИЈА  ПОСЛЕ САНАЦИЈЕ ТЕРМИЧКОГ ОМОТАЧА</t>
  </si>
  <si>
    <t>јединица</t>
  </si>
  <si>
    <t>мере</t>
  </si>
  <si>
    <t xml:space="preserve"> po kWh</t>
  </si>
  <si>
    <t>/god</t>
  </si>
  <si>
    <t>Топлотна моћ јед. мере у kJ, kWh</t>
  </si>
  <si>
    <t>по јед.</t>
  </si>
  <si>
    <t>годишње</t>
  </si>
  <si>
    <t>по kWh</t>
  </si>
  <si>
    <t>НОВЧАНА УШТЕДА</t>
  </si>
  <si>
    <r>
      <t>ЕМИСИЈА CO</t>
    </r>
    <r>
      <rPr>
        <b/>
        <vertAlign val="subscript"/>
        <sz val="18"/>
        <rFont val="Calibri"/>
        <family val="2"/>
      </rPr>
      <t>2</t>
    </r>
  </si>
  <si>
    <r>
      <t>Q</t>
    </r>
    <r>
      <rPr>
        <vertAlign val="subscript"/>
        <sz val="14"/>
        <rFont val="Calibri"/>
        <family val="2"/>
      </rPr>
      <t>H</t>
    </r>
    <r>
      <rPr>
        <sz val="14"/>
        <rFont val="Calibri"/>
        <family val="2"/>
      </rPr>
      <t xml:space="preserve"> ( kWh/god ) =</t>
    </r>
  </si>
  <si>
    <t>Цена и топлотна моћ угља</t>
  </si>
  <si>
    <t>виша тар.</t>
  </si>
  <si>
    <t>нижа тар.</t>
  </si>
  <si>
    <t>Цена електричне енергије</t>
  </si>
  <si>
    <t>HOR (kWh/m2)</t>
  </si>
  <si>
    <t>J(kWh/m2)</t>
  </si>
  <si>
    <t>I, Z (kWh/m2)</t>
  </si>
  <si>
    <t>S(kWh/m2)</t>
  </si>
  <si>
    <t>Zima</t>
  </si>
  <si>
    <t>Специфична годишња производња ФН система на кровним површинама</t>
  </si>
  <si>
    <t>Специфична годишња производња фотонапонских система на конструкцијама на тлу</t>
  </si>
  <si>
    <t>Брoj рeгиoнa</t>
  </si>
  <si>
    <t>Регион</t>
  </si>
  <si>
    <t>(MWh/MWp)</t>
  </si>
  <si>
    <t>уградња соларних панела за производњу електричне енергије</t>
  </si>
  <si>
    <t xml:space="preserve"> - одобрена електрична снага од стране електродистибуције ( kW )</t>
  </si>
  <si>
    <t>Соларни панели се монтирају на:</t>
  </si>
  <si>
    <t>у простору окућнице</t>
  </si>
  <si>
    <t xml:space="preserve"> - годишњи вентилациони губици топлоте за постојеће прозоре</t>
  </si>
  <si>
    <t xml:space="preserve"> - годишњи вентилациони губици топлоте за нове прозоре</t>
  </si>
  <si>
    <t xml:space="preserve"> - материјал прозора</t>
  </si>
  <si>
    <t xml:space="preserve"> - остакљење</t>
  </si>
  <si>
    <t xml:space="preserve"> - тип врата која се мењају</t>
  </si>
  <si>
    <t>МЕРА 9) - уградња соларних панела за производњу електричне енергије</t>
  </si>
  <si>
    <t>СПОЉНИ ЗИД</t>
  </si>
  <si>
    <t>ПОД НА ТЛУ</t>
  </si>
  <si>
    <t>ТАВАНИЦА</t>
  </si>
  <si>
    <t>ПРОЦЕНА ИСПОРУЧЕНЕ ТОПЛОТНЕ ЕНЕРГИЈЕ ПРЕ ЕНЕРГЕТСКЕ САНАЦИЈЕ</t>
  </si>
  <si>
    <r>
      <t>Rpost.kalk. ( m</t>
    </r>
    <r>
      <rPr>
        <vertAlign val="superscript"/>
        <sz val="11"/>
        <color indexed="8"/>
        <rFont val="Calibri"/>
        <family val="2"/>
      </rPr>
      <t>2</t>
    </r>
    <r>
      <rPr>
        <sz val="11"/>
        <color theme="1"/>
        <rFont val="Calibri"/>
        <family val="2"/>
        <charset val="238"/>
        <scheme val="minor"/>
      </rPr>
      <t xml:space="preserve">K/W ) - </t>
    </r>
  </si>
  <si>
    <r>
      <t>Rpost.tipol. ( m</t>
    </r>
    <r>
      <rPr>
        <vertAlign val="superscript"/>
        <sz val="11"/>
        <color indexed="8"/>
        <rFont val="Calibri"/>
        <family val="2"/>
      </rPr>
      <t>2</t>
    </r>
    <r>
      <rPr>
        <sz val="11"/>
        <color theme="1"/>
        <rFont val="Calibri"/>
        <family val="2"/>
        <charset val="238"/>
        <scheme val="minor"/>
      </rPr>
      <t xml:space="preserve">K/W ) - </t>
    </r>
  </si>
  <si>
    <r>
      <rPr>
        <sz val="11"/>
        <color indexed="10"/>
        <rFont val="Symbol"/>
        <family val="1"/>
        <charset val="2"/>
      </rPr>
      <t>1/l</t>
    </r>
    <r>
      <rPr>
        <sz val="11"/>
        <color indexed="10"/>
        <rFont val="Calibri"/>
        <family val="2"/>
        <charset val="238"/>
      </rPr>
      <t xml:space="preserve"> (mK/W)</t>
    </r>
  </si>
  <si>
    <t>Način proračuna -</t>
  </si>
  <si>
    <r>
      <t>m</t>
    </r>
    <r>
      <rPr>
        <vertAlign val="superscript"/>
        <sz val="11"/>
        <color indexed="10"/>
        <rFont val="Calibri"/>
        <family val="2"/>
      </rPr>
      <t>2</t>
    </r>
  </si>
  <si>
    <t xml:space="preserve"> - референтна област</t>
  </si>
  <si>
    <t xml:space="preserve"> - позиција постављених панела</t>
  </si>
  <si>
    <t xml:space="preserve"> - Специфична годишња производња ФН система (MWh/MWp)</t>
  </si>
  <si>
    <t>PVout ( kWh/god ) =</t>
  </si>
  <si>
    <t xml:space="preserve"> - УШТЕДА ИСПОРУЧЕНЕ ЕНЕРГИЈЕ ПОСЛЕ УГРАДЊЕ СОЛАРНИХ ПАНЕЛА</t>
  </si>
  <si>
    <t xml:space="preserve"> - цена једног kWh електричне енергије ( дин./kWh )</t>
  </si>
  <si>
    <t>Годишња потрошња електричне енергије:</t>
  </si>
  <si>
    <t xml:space="preserve"> - ПРИМАРНА ЕНЕРГИЈА  ПРЕ УГРАДЊЕ СОЛАРНИХ ПАНЕЛА</t>
  </si>
  <si>
    <t xml:space="preserve"> - ПРИМАРНА ЕНЕРГИЈА  ПОСЛЕ УГРАДЊЕ СОЛАРНИХ ПАНЕЛА</t>
  </si>
  <si>
    <t xml:space="preserve"> - ГОДИШЊА ЦЕНА ЕЛЕКТРИЧНЕ ЕНЕРГИЈЕ ПРЕ УГРАДЊЕ СОЛАРНИХ ПАНЕЛА ( дин. ) </t>
  </si>
  <si>
    <t xml:space="preserve"> - ГОДИШЊА ЦЕНА ЕЛЕКТРИЧНЕ ЕНЕРГИЈЕ ПОСЛЕ УГРАДЊЕ СОЛАРНИХ ПАНЕЛА ( дин. ) </t>
  </si>
  <si>
    <t xml:space="preserve"> - ГОДИШЊА ЕМИСИЈА CO2 НА ГОДИШЊЕМ НИВОУ ПРЕ УГРАДЊЕ СОЛАРНИХ ПАНЕЛА( kg )</t>
  </si>
  <si>
    <t xml:space="preserve"> - ГОДИШЊА ЕМИСИЈА CO2 НА ГОДИШЊЕМ НИВОУ ПОСЛЕ УГРАДЊЕ СОЛАРНИХ ПАНЕЛА( kg )</t>
  </si>
  <si>
    <t>J</t>
  </si>
  <si>
    <t>I, Z</t>
  </si>
  <si>
    <t>S</t>
  </si>
  <si>
    <t>Западнобачка</t>
  </si>
  <si>
    <t>Севернобачка</t>
  </si>
  <si>
    <t>Севернобанатска</t>
  </si>
  <si>
    <t>Јужнобачка</t>
  </si>
  <si>
    <t>Средњeбанатска</t>
  </si>
  <si>
    <t>Сремска</t>
  </si>
  <si>
    <t>Јужнобанатска</t>
  </si>
  <si>
    <t>Мачванска</t>
  </si>
  <si>
    <t>Београдски</t>
  </si>
  <si>
    <t>Колубарска</t>
  </si>
  <si>
    <t>Подунавска</t>
  </si>
  <si>
    <t>Браничевска</t>
  </si>
  <si>
    <t>Златиборска</t>
  </si>
  <si>
    <t>Моравичка</t>
  </si>
  <si>
    <t>Шумадијска</t>
  </si>
  <si>
    <t>Поморавска</t>
  </si>
  <si>
    <t>Борска</t>
  </si>
  <si>
    <t>Расинска</t>
  </si>
  <si>
    <t>Нишавска</t>
  </si>
  <si>
    <t>Зајечарска</t>
  </si>
  <si>
    <t>Топличка</t>
  </si>
  <si>
    <t>Јабланичка</t>
  </si>
  <si>
    <t>Пиротска</t>
  </si>
  <si>
    <t>Пчињска</t>
  </si>
  <si>
    <t>врата</t>
  </si>
  <si>
    <r>
      <t>U (W/m</t>
    </r>
    <r>
      <rPr>
        <vertAlign val="superscript"/>
        <sz val="11"/>
        <color indexed="8"/>
        <rFont val="Calibri"/>
        <family val="2"/>
      </rPr>
      <t>2</t>
    </r>
    <r>
      <rPr>
        <sz val="11"/>
        <color theme="1"/>
        <rFont val="Calibri"/>
        <family val="2"/>
        <charset val="238"/>
        <scheme val="minor"/>
      </rPr>
      <t>K)</t>
    </r>
  </si>
  <si>
    <t>прозори</t>
  </si>
  <si>
    <t>дупла крила</t>
  </si>
  <si>
    <t>1 х стакло</t>
  </si>
  <si>
    <t>2 х стакло</t>
  </si>
  <si>
    <t>Референтно место:</t>
  </si>
  <si>
    <r>
      <t>"</t>
    </r>
    <r>
      <rPr>
        <b/>
        <sz val="18"/>
        <color indexed="10"/>
        <rFont val="Calibri"/>
        <family val="2"/>
      </rPr>
      <t>SURCE</t>
    </r>
    <r>
      <rPr>
        <b/>
        <sz val="18"/>
        <color indexed="8"/>
        <rFont val="Calibri"/>
        <family val="2"/>
      </rPr>
      <t>" ПРОЈЕКАТ - ПРОЦЕНА УШТЕДЕ ТОПЛОТНЕ ЕНЕРТИЈЕ</t>
    </r>
  </si>
  <si>
    <t>Уштеда при замени котла и уградњи топлотне пумпе рачуна се са специфичном потребном енергијом SHD као улазним податком преузетим из националне типологије и Табеле 13 Правилника о уштедама;</t>
  </si>
  <si>
    <t>СТЕПЕН ДАНИ HDD ЗА РЕФЕРЕНТНА МЕСТА ПРЕМА ПОДАЦИМА РЕПУБЛИЧКОГ ХИДРОМЕТЕОРОЛОШКОГ ЗАВОДА</t>
  </si>
  <si>
    <t>ТАБЕЛА СТЕПЕН ДАНА У ГРЕЈНОМ ПЕРИОДУ И НАДМОРСКЕ ВИСИНЕ ПО ОПШТИНАМА</t>
  </si>
  <si>
    <t>изградње:</t>
  </si>
  <si>
    <t xml:space="preserve">година </t>
  </si>
  <si>
    <t>МЕРА ЕНЕРГЕТСКЕ САНАЦИЈЕ</t>
  </si>
  <si>
    <t>ПРЕГЛЕД УКУПНИХ ПОТРЕБНИХ, ИСПОРУЧЕНИХ И ПРИМАРНИХ ГОДИШЊИХ ЕНЕРГИЈА И УШТЕДА ЗА ДОМАЋИНСТВО</t>
  </si>
  <si>
    <t>ПОТРЕБНА ЕНЕРГИЈА</t>
  </si>
  <si>
    <t xml:space="preserve"> - УШТЕДА ПОТРЕБНЕ ЕНЕРГИЈЕ</t>
  </si>
  <si>
    <t>ПРОЦЕНА ПОТРОШЊЕ ПОТРЕБНЕ ТОПЛОТНЕ ЕНЕРГИЈЕ ПРЕМА НАЦИОНАЛНОЈ ТИПОЛОГИЈИ</t>
  </si>
  <si>
    <t xml:space="preserve"> - годишња уштеда потребне топлоте </t>
  </si>
  <si>
    <t xml:space="preserve"> - ПРОЦЕНА ПОТРЕБНЕ ЕНЕРГИЈА ПРЕ САНАЦИЈЕ</t>
  </si>
  <si>
    <t xml:space="preserve"> - ПРОРАЧУН ПОТРЕБНЕ ЕНЕРГИЈА ПРЕ САНАЦИЈЕ ЗА ПОВРШИНУ КОЈА ЈЕ ПРЕДМЕТ САНАЦИЈЕ</t>
  </si>
  <si>
    <t xml:space="preserve"> - УСВОЈЕНА ВРЕДНОСТ ПОТРЕБНЕ ЕНЕРГИЈА ПРЕ САНАЦИЈЕ</t>
  </si>
  <si>
    <t xml:space="preserve"> - ПРОЦЕНА ПОТРЕБНЕ ЕНЕРГИЈА ПОСЛЕ САНАЦИЈЕ ТЕРМИЧКОГ ОМОТАЧА</t>
  </si>
  <si>
    <t xml:space="preserve"> - ПРОЦЕНАТ УШТЕДЕ ПОТРЕБНЕ ЕНЕРГИЈЕ</t>
  </si>
  <si>
    <t xml:space="preserve"> - УСВОЈЕНА ВРЕДНОСТ ПОТРЕБНЕ ЕНЕРГИЈА</t>
  </si>
  <si>
    <t xml:space="preserve"> - ГОДИШЊА ПОТРЕБНА ЕНЕРГИЈА ЗА ПРИПРЕМУ ПТВ</t>
  </si>
  <si>
    <t xml:space="preserve"> - ГОДИШЊА ПОТРЕБНА ЕНЕРГИЈА ПОСЛЕ УГРАДЊЕ СОЛАРНИХ КОЛЕКТОРА</t>
  </si>
  <si>
    <t xml:space="preserve"> - УШТЕДА ПОТРЕБНЕ ЕНЕРГИЈЕ ПОСЛЕ УГРАДЊЕ СОЛАРНИХ КОЛЕКТОРА</t>
  </si>
  <si>
    <t>КОНС.ИЗНАД ГАРАЖ.</t>
  </si>
  <si>
    <t>КРОВ</t>
  </si>
  <si>
    <t>УШТЕДА ПОТРЕБНЕ ЕНЕРГИЈЕ( kWh/god ) -</t>
  </si>
  <si>
    <t>УШТЕДА ИСПОРУЧЕНЕ ЕНЕРГИЈЕ( kWh/god ) -</t>
  </si>
  <si>
    <t>УШТЕДА ПРИМАРНЕ ЕНЕРГИЈЕ( kWh/god ) -</t>
  </si>
  <si>
    <r>
      <t>СМАЊЕЊЕ ЕМИСИЈЕ СО</t>
    </r>
    <r>
      <rPr>
        <b/>
        <vertAlign val="subscript"/>
        <sz val="11"/>
        <color indexed="8"/>
        <rFont val="Calibri"/>
        <family val="2"/>
      </rPr>
      <t>2</t>
    </r>
    <r>
      <rPr>
        <b/>
        <sz val="11"/>
        <color indexed="8"/>
        <rFont val="Calibri"/>
        <family val="2"/>
      </rPr>
      <t>( kg/god ) -</t>
    </r>
  </si>
  <si>
    <t>УШТЕДА У НОВЦУ( din./god. ) -</t>
  </si>
  <si>
    <r>
      <t>Емисија CO</t>
    </r>
    <r>
      <rPr>
        <b/>
        <vertAlign val="subscript"/>
        <sz val="11"/>
        <color indexed="8"/>
        <rFont val="Calibri"/>
        <family val="2"/>
      </rPr>
      <t>2</t>
    </r>
    <r>
      <rPr>
        <b/>
        <sz val="11"/>
        <color indexed="8"/>
        <rFont val="Calibri"/>
        <family val="2"/>
      </rPr>
      <t xml:space="preserve"> у kg</t>
    </r>
  </si>
  <si>
    <t xml:space="preserve"> - емисија СО2 ( kg/kWh )</t>
  </si>
  <si>
    <t xml:space="preserve"> - годишња уштеда испоручене топлоте </t>
  </si>
  <si>
    <t xml:space="preserve"> - годишња уштеда примарне топлоте </t>
  </si>
  <si>
    <t xml:space="preserve"> - годишња уштеда новца у дин.</t>
  </si>
  <si>
    <r>
      <t xml:space="preserve"> - годишње смањење емисије СО</t>
    </r>
    <r>
      <rPr>
        <b/>
        <vertAlign val="subscript"/>
        <sz val="11"/>
        <color indexed="8"/>
        <rFont val="Calibri"/>
        <family val="2"/>
      </rPr>
      <t>2</t>
    </r>
    <r>
      <rPr>
        <b/>
        <sz val="11"/>
        <color indexed="8"/>
        <rFont val="Calibri"/>
        <family val="2"/>
      </rPr>
      <t xml:space="preserve">  у kg</t>
    </r>
  </si>
  <si>
    <t xml:space="preserve"> - извршена замена/уградња инсталације</t>
  </si>
  <si>
    <t>МЕРА 7) - замена/уградња инсталације грејања</t>
  </si>
  <si>
    <t>ПРЕГЛЕД ПАРАМЕТАРА ПРЕ И ПОСЛЕ САНАЦИЈЕ ГРЕЈНОГ ПОСТРОЈЕЊА</t>
  </si>
  <si>
    <t>МЕРА 4) - замена постојећег извора топлоте котлом на гас</t>
  </si>
  <si>
    <t>МЕРА 5) - замена постојећег извора топлоте котлом на биомасу</t>
  </si>
  <si>
    <t>МЕРА 6) - уградња топлотне пумпе</t>
  </si>
  <si>
    <t xml:space="preserve"> - УШТЕДА ИСПОРУЧЕНЕ ЕНЕРГИЈЕ ОСТВАРЕНА ЗАМЕНОМ/УГРАДЊОМ ИНСТАЛАЦИЈЕ</t>
  </si>
  <si>
    <t xml:space="preserve"> - степен корисности новог извора топлоте</t>
  </si>
  <si>
    <t xml:space="preserve"> - ИСПОРУЧЕНА ЕНЕРГИЈА ПРЕ ЗАМЕНЕ СИСТЕМА ГРЕЈАЊА</t>
  </si>
  <si>
    <t xml:space="preserve"> - ИСПОРУЧЕНА ЕНЕРГИЈА ПОСЛЕ ЗАМЕНЕ СИСТЕМА ГРЕЈАЊА</t>
  </si>
  <si>
    <t xml:space="preserve"> - ПРИМАРНА ЕНЕРГИЈА  ПРЕ ЗАМЕНЕ СИСТЕМА ГРЕЈАЊА</t>
  </si>
  <si>
    <t xml:space="preserve"> - ПРИМАРНА ЕНЕРГИЈА  ПОСЛЕ ЗАМЕНЕ СИСТЕМА ГРЕЈАЊА</t>
  </si>
  <si>
    <t xml:space="preserve"> - ЦЕНА ПОТРЕБНИХ ЕНЕРГЕНАТА НА ГОДИШЊЕМ НИВОУ ПОСЛЕ ЗАМЕНЕ СИСТЕМА ГРЕЈАЊА ( дин. ) </t>
  </si>
  <si>
    <t xml:space="preserve"> - ЦЕНА ПОТРЕБНИХ ЕНЕРГЕНАТА НА ГОДИШЊЕМ НИВОУ ПОСЛЕ САНАЦИЈЕ ТЕРМИЧКОГ ОМОТАЧА ( дин. ) </t>
  </si>
  <si>
    <t xml:space="preserve"> - ЦЕНА ПОТРЕБНИХ ЕНЕРГЕНАТА НА ГОДИШЊЕМ НИВОУ ПРЕ САНАЦИЈЕ ТЕРМИЧКОГ ОМОТАЧА ( дин. ) </t>
  </si>
  <si>
    <t xml:space="preserve"> - ГОДИШЊА ЕМИСИЈА CO2 НА ГОДИШЊЕМ НИВОУ ПРЕ САНАЦИЈЕ ТЕРМИЧКОГ ОМОТАЧА ( kg )</t>
  </si>
  <si>
    <t xml:space="preserve"> - ГОДИШЊА ЕМИСИЈА CO2 НА ГОДИШЊЕМ НИВОУ ПОСЛЕ САНАЦИЈЕ ТЕРМИЧКОГ ОМОТАЧА ( kg )</t>
  </si>
  <si>
    <t>УШТЕДА</t>
  </si>
  <si>
    <t xml:space="preserve"> - КОЛИЧИНА ПРИМАРНЕ ЕНЕРГИЈЕ ПРЕБАЧЕНА НА ОБНОВЉИВЕ ИЗВОРЕ ЕНЕРГИЈЕ</t>
  </si>
  <si>
    <t>ВРЕДНОСТ ИНВЕСТИЦИЈЕ</t>
  </si>
  <si>
    <t xml:space="preserve"> - ПОВЕЋАЊЕ КОЛИЧИНЕ ЕНЕРГИЈЕ ИЗ ОБНОВЉИВИХ ИЗВОРА</t>
  </si>
  <si>
    <t>ОБНОВЉИВИ ИЗВОРИ</t>
  </si>
  <si>
    <t>етажно грејање ( котао само за предметно домаћинство и сл. )</t>
  </si>
  <si>
    <t>централно грејање ( подстаница, котао за више домаћинстава и сл. )</t>
  </si>
  <si>
    <t>Тип постојећег система грејања:</t>
  </si>
  <si>
    <t>локално грејање ( нема инсталације, пећи, ТА пећи, грејалице  у просторијама и сл. )</t>
  </si>
  <si>
    <t>дебљина нове изолације (цм):</t>
  </si>
  <si>
    <t>ИНСТАЛИРАНА ОПРЕМА/МАТЕРИЈАЛ</t>
  </si>
  <si>
    <t>вредност инвестиције (рсд):</t>
  </si>
  <si>
    <r>
      <t>(m</t>
    </r>
    <r>
      <rPr>
        <vertAlign val="superscript"/>
        <sz val="14"/>
        <color indexed="8"/>
        <rFont val="Calibri"/>
        <family val="2"/>
      </rPr>
      <t>2</t>
    </r>
    <r>
      <rPr>
        <sz val="14"/>
        <color indexed="8"/>
        <rFont val="Calibri"/>
        <family val="2"/>
      </rPr>
      <t>,kW,kWp)</t>
    </r>
  </si>
  <si>
    <t xml:space="preserve"> - ИНСТАЛИРАНА ОПРЕМА/МАТЕРИЈАЛ</t>
  </si>
  <si>
    <r>
      <t>(РСД</t>
    </r>
    <r>
      <rPr>
        <sz val="14"/>
        <color indexed="8"/>
        <rFont val="Calibri"/>
        <family val="2"/>
      </rPr>
      <t>)</t>
    </r>
  </si>
  <si>
    <t xml:space="preserve"> - ВРЕДНОСТ ИНВЕСТИЦИЈЕ</t>
  </si>
  <si>
    <t>СПЕЦИФИЧНА ВРЕДНОСТ ИНВЕСТИЦИЈЕ</t>
  </si>
  <si>
    <r>
      <t>(РСД/m</t>
    </r>
    <r>
      <rPr>
        <vertAlign val="superscript"/>
        <sz val="14"/>
        <color indexed="8"/>
        <rFont val="Calibri"/>
        <family val="2"/>
      </rPr>
      <t>2</t>
    </r>
    <r>
      <rPr>
        <sz val="14"/>
        <color indexed="8"/>
        <rFont val="Calibri"/>
        <family val="2"/>
      </rPr>
      <t>,kW,kWp)</t>
    </r>
  </si>
  <si>
    <r>
      <t>m</t>
    </r>
    <r>
      <rPr>
        <b/>
        <vertAlign val="superscript"/>
        <sz val="12"/>
        <color indexed="30"/>
        <rFont val="Calibri"/>
        <family val="2"/>
      </rPr>
      <t>2</t>
    </r>
  </si>
  <si>
    <t>kWp</t>
  </si>
  <si>
    <t>цена у рсд</t>
  </si>
  <si>
    <t xml:space="preserve"> - СПЕЦИФИЧНА ВРЕДНОСТ ИНВЕСТИЦИЈЕ</t>
  </si>
  <si>
    <r>
      <t>U ( W/m</t>
    </r>
    <r>
      <rPr>
        <vertAlign val="superscript"/>
        <sz val="11"/>
        <color indexed="8"/>
        <rFont val="Calibri"/>
        <family val="2"/>
      </rPr>
      <t>2</t>
    </r>
    <r>
      <rPr>
        <sz val="11"/>
        <color theme="1"/>
        <rFont val="Calibri"/>
        <family val="2"/>
        <charset val="238"/>
        <scheme val="minor"/>
      </rPr>
      <t>K )</t>
    </r>
  </si>
  <si>
    <r>
      <t xml:space="preserve"> - Правилника о факторима конверзије финалне енергије у примарну и факторима емисије CO</t>
    </r>
    <r>
      <rPr>
        <vertAlign val="subscript"/>
        <sz val="11"/>
        <color indexed="8"/>
        <rFont val="Calibri"/>
        <family val="2"/>
      </rPr>
      <t>2</t>
    </r>
    <r>
      <rPr>
        <sz val="11"/>
        <color theme="1"/>
        <rFont val="Calibri"/>
        <family val="2"/>
        <charset val="238"/>
        <scheme val="minor"/>
      </rPr>
      <t>;</t>
    </r>
  </si>
  <si>
    <t>Просечно:</t>
  </si>
  <si>
    <t>Национална типологија</t>
  </si>
  <si>
    <t>Према броју HDD</t>
  </si>
  <si>
    <t>Адреса:</t>
  </si>
  <si>
    <t>Крајњи корисник:</t>
  </si>
  <si>
    <t>Извођач-директни корисник:</t>
  </si>
  <si>
    <t>Број:</t>
  </si>
  <si>
    <t>Датум:</t>
  </si>
  <si>
    <t>Вредност инвестиције:</t>
  </si>
  <si>
    <t>Кућа или стан:</t>
  </si>
  <si>
    <t>Изабрана мера/пакет:</t>
  </si>
  <si>
    <t>Број примењених мера:</t>
  </si>
  <si>
    <t>СНАГА ИНСТАЛИРАНИХ ОБНОВЉИВИХ ИЗВОРА</t>
  </si>
  <si>
    <r>
      <t>P</t>
    </r>
    <r>
      <rPr>
        <vertAlign val="subscript"/>
        <sz val="14"/>
        <rFont val="Calibri"/>
        <family val="2"/>
      </rPr>
      <t>H</t>
    </r>
    <r>
      <rPr>
        <sz val="14"/>
        <rFont val="Calibri"/>
        <family val="2"/>
      </rPr>
      <t xml:space="preserve"> ( kW ) =</t>
    </r>
  </si>
  <si>
    <t>RSD/god</t>
  </si>
  <si>
    <t>kg/god</t>
  </si>
  <si>
    <r>
      <t>1.</t>
    </r>
    <r>
      <rPr>
        <sz val="7"/>
        <color indexed="8"/>
        <rFont val="Times New Roman"/>
        <family val="1"/>
      </rPr>
      <t xml:space="preserve">      </t>
    </r>
    <r>
      <rPr>
        <sz val="11"/>
        <color indexed="8"/>
        <rFont val="Calibri"/>
        <family val="2"/>
      </rPr>
      <t>Замена спољних прозора и врата;</t>
    </r>
  </si>
  <si>
    <r>
      <t>2.</t>
    </r>
    <r>
      <rPr>
        <sz val="7"/>
        <color indexed="8"/>
        <rFont val="Times New Roman"/>
        <family val="1"/>
      </rPr>
      <t xml:space="preserve">      </t>
    </r>
    <r>
      <rPr>
        <sz val="11"/>
        <color indexed="8"/>
        <rFont val="Calibri"/>
        <family val="2"/>
      </rPr>
      <t>Постављања термичке изолације спољних зидова</t>
    </r>
  </si>
  <si>
    <r>
      <t>3.</t>
    </r>
    <r>
      <rPr>
        <sz val="7"/>
        <color indexed="8"/>
        <rFont val="Times New Roman"/>
        <family val="1"/>
      </rPr>
      <t xml:space="preserve">      </t>
    </r>
    <r>
      <rPr>
        <sz val="11"/>
        <color indexed="8"/>
        <rFont val="Calibri"/>
        <family val="2"/>
      </rPr>
      <t>Постављања термичке изолације испод кровног покривача или таванице</t>
    </r>
  </si>
  <si>
    <r>
      <t>4.</t>
    </r>
    <r>
      <rPr>
        <sz val="7"/>
        <color indexed="8"/>
        <rFont val="Times New Roman"/>
        <family val="1"/>
      </rPr>
      <t xml:space="preserve">      </t>
    </r>
    <r>
      <rPr>
        <sz val="11"/>
        <color indexed="8"/>
        <rFont val="Calibri"/>
        <family val="2"/>
      </rPr>
      <t>Замене постојећег грејача простора ефикаснијим котлом на_гас</t>
    </r>
  </si>
  <si>
    <r>
      <t>5.</t>
    </r>
    <r>
      <rPr>
        <sz val="7"/>
        <color indexed="8"/>
        <rFont val="Times New Roman"/>
        <family val="1"/>
      </rPr>
      <t xml:space="preserve">      </t>
    </r>
    <r>
      <rPr>
        <sz val="11"/>
        <color indexed="8"/>
        <rFont val="Calibri"/>
        <family val="2"/>
      </rPr>
      <t>Замене постојећег грејача простора ефикаснијим котлом на биомасу</t>
    </r>
  </si>
  <si>
    <r>
      <t>6.</t>
    </r>
    <r>
      <rPr>
        <sz val="7"/>
        <color indexed="8"/>
        <rFont val="Times New Roman"/>
        <family val="1"/>
      </rPr>
      <t xml:space="preserve">      </t>
    </r>
    <r>
      <rPr>
        <sz val="11"/>
        <color indexed="8"/>
        <rFont val="Calibri"/>
        <family val="2"/>
      </rPr>
      <t>Уградња топлотних пумпи</t>
    </r>
  </si>
  <si>
    <r>
      <t>7.</t>
    </r>
    <r>
      <rPr>
        <sz val="7"/>
        <color indexed="8"/>
        <rFont val="Times New Roman"/>
        <family val="1"/>
      </rPr>
      <t xml:space="preserve">      </t>
    </r>
    <r>
      <rPr>
        <sz val="11"/>
        <color indexed="8"/>
        <rFont val="Calibri"/>
        <family val="2"/>
      </rPr>
      <t>Замене постојеће или уградња нове цевне мреже, грејних тела и пратећег прибора</t>
    </r>
  </si>
  <si>
    <r>
      <t>8.</t>
    </r>
    <r>
      <rPr>
        <sz val="7"/>
        <color indexed="8"/>
        <rFont val="Times New Roman"/>
        <family val="1"/>
      </rPr>
      <t xml:space="preserve">      </t>
    </r>
    <r>
      <rPr>
        <sz val="11"/>
        <color indexed="8"/>
        <rFont val="Calibri"/>
        <family val="2"/>
      </rPr>
      <t>Уградња соларних колектора у инсталацију за централну припрему потрошне топле воде</t>
    </r>
  </si>
  <si>
    <r>
      <t>9.</t>
    </r>
    <r>
      <rPr>
        <sz val="7"/>
        <color indexed="8"/>
        <rFont val="Times New Roman"/>
        <family val="1"/>
      </rPr>
      <t xml:space="preserve">      </t>
    </r>
    <r>
      <rPr>
        <sz val="11"/>
        <color indexed="8"/>
        <rFont val="Calibri"/>
        <family val="2"/>
      </rPr>
      <t>Уградња соларних панела и пратеће инсталације за производњу електричне енергије</t>
    </r>
  </si>
  <si>
    <t>Породична кућа</t>
  </si>
  <si>
    <t>Двојна или кућа у низу</t>
  </si>
  <si>
    <t>Стан</t>
  </si>
  <si>
    <r>
      <rPr>
        <sz val="11"/>
        <color indexed="10"/>
        <rFont val="Calibri"/>
        <family val="2"/>
      </rPr>
      <t>Коефицијент провођења топлоте ( W/mK)</t>
    </r>
    <r>
      <rPr>
        <sz val="11"/>
        <color indexed="10"/>
        <rFont val="Symbol"/>
        <family val="1"/>
        <charset val="2"/>
      </rPr>
      <t xml:space="preserve"> l</t>
    </r>
    <r>
      <rPr>
        <sz val="11"/>
        <color indexed="10"/>
        <rFont val="Calibri"/>
        <family val="2"/>
        <charset val="238"/>
      </rPr>
      <t>=</t>
    </r>
  </si>
  <si>
    <t>Извор постојећег грејања:</t>
  </si>
  <si>
    <t>Површина прозора који се мењају:</t>
  </si>
  <si>
    <t>Тип прозора који се мењају:</t>
  </si>
  <si>
    <t>Стакло:</t>
  </si>
  <si>
    <t>Површина врата која се мењају:</t>
  </si>
  <si>
    <t>Вредност инвестиције (рсд):</t>
  </si>
  <si>
    <t>Новa врата:</t>
  </si>
  <si>
    <t>Предмет енергетске санације:</t>
  </si>
  <si>
    <t>Састав конструкције која се изолује ( уписати у табели дебљину слоја у cm ):</t>
  </si>
  <si>
    <t>lit.</t>
  </si>
  <si>
    <t>Дебљина (cm)</t>
  </si>
  <si>
    <t>цена у дин.</t>
  </si>
  <si>
    <t>потрошња</t>
  </si>
  <si>
    <t>цена kWh</t>
  </si>
  <si>
    <t>дин./год.</t>
  </si>
  <si>
    <t>штаваљ</t>
  </si>
  <si>
    <t>суш.колубара</t>
  </si>
  <si>
    <t>бановићи</t>
  </si>
  <si>
    <t>ковин</t>
  </si>
  <si>
    <t>соко</t>
  </si>
  <si>
    <t>зелена</t>
  </si>
  <si>
    <t>плава</t>
  </si>
  <si>
    <t>црвена</t>
  </si>
  <si>
    <t>Бр дана у месецу</t>
  </si>
  <si>
    <t>Потребно</t>
  </si>
  <si>
    <t>Расположиво</t>
  </si>
  <si>
    <t>Остварено</t>
  </si>
  <si>
    <t>ХОР</t>
  </si>
  <si>
    <t>Просек</t>
  </si>
  <si>
    <t>Јануар</t>
  </si>
  <si>
    <t>Орјентација</t>
  </si>
  <si>
    <t>Фебруар</t>
  </si>
  <si>
    <t>Март</t>
  </si>
  <si>
    <t>Април</t>
  </si>
  <si>
    <t>Мај</t>
  </si>
  <si>
    <t>Јун</t>
  </si>
  <si>
    <t>Јул</t>
  </si>
  <si>
    <t>Август</t>
  </si>
  <si>
    <t>Септембар</t>
  </si>
  <si>
    <t>Октобар</t>
  </si>
  <si>
    <t>Новембар</t>
  </si>
  <si>
    <t>Децембар</t>
  </si>
  <si>
    <t>ИСПОРУЧЕНА ЕНЕРГИЈА</t>
  </si>
  <si>
    <t>СМАЊЕЊЕ (CO2)</t>
  </si>
  <si>
    <t xml:space="preserve"> - ПОВЕЋАЊЕ КОЛИЧИНЕ ЕНЕРГИЈЕ ПРОИЗВЕДЕНЕ ИЗ ОБНОВЉИВИХ ИЗВОРА</t>
  </si>
  <si>
    <r>
      <t xml:space="preserve"> - степен корисности ( %</t>
    </r>
    <r>
      <rPr>
        <sz val="11"/>
        <color indexed="8"/>
        <rFont val="Calibri"/>
        <family val="2"/>
      </rPr>
      <t xml:space="preserve"> )</t>
    </r>
  </si>
  <si>
    <t>Srednje sume Sunčevog zračenja</t>
  </si>
  <si>
    <r>
      <t xml:space="preserve"> -средња јединична вредност енергије дозраченог директног и дифузног зрачења ( W/m</t>
    </r>
    <r>
      <rPr>
        <vertAlign val="superscript"/>
        <sz val="11"/>
        <color indexed="8"/>
        <rFont val="Calibri"/>
        <family val="2"/>
      </rPr>
      <t>2</t>
    </r>
    <r>
      <rPr>
        <sz val="11"/>
        <color theme="1"/>
        <rFont val="Calibri"/>
        <family val="2"/>
        <charset val="238"/>
        <scheme val="minor"/>
      </rPr>
      <t xml:space="preserve"> )</t>
    </r>
  </si>
  <si>
    <t xml:space="preserve"> - снага инсталираних соларних колектора ( kW )</t>
  </si>
  <si>
    <t xml:space="preserve"> - ГОДИШЊА ИСПОРУЧЕНА ЕЛЕКТРИЧНА ЕНЕРГИЈА ПРЕ УГРАДЊЕ СОЛАРНИХ ПАНЕЛА</t>
  </si>
  <si>
    <t>вредност инвестиције :</t>
  </si>
  <si>
    <t>(рсд)</t>
  </si>
  <si>
    <t>ГРЕШКЕ:</t>
  </si>
  <si>
    <r>
      <t xml:space="preserve"> - инсталирана снага соларних панела у пику ( kWp</t>
    </r>
    <r>
      <rPr>
        <sz val="11"/>
        <color indexed="8"/>
        <rFont val="Calibri"/>
        <family val="2"/>
      </rPr>
      <t xml:space="preserve"> )</t>
    </r>
  </si>
  <si>
    <t xml:space="preserve"> - УШТЕДА ИСПОРУЧЕНЕ ЕНЕРГИЈЕ ОСТВАРЕНА УГРАДЊОМ ТОПЛОТНЕ ПУМПЕ</t>
  </si>
  <si>
    <r>
      <t>површина која се изолује ( м</t>
    </r>
    <r>
      <rPr>
        <vertAlign val="superscript"/>
        <sz val="11"/>
        <color indexed="10"/>
        <rFont val="Calibri"/>
        <family val="2"/>
      </rPr>
      <t>2</t>
    </r>
    <r>
      <rPr>
        <sz val="11"/>
        <color indexed="10"/>
        <rFont val="Calibri"/>
        <family val="2"/>
      </rPr>
      <t xml:space="preserve"> )</t>
    </r>
  </si>
  <si>
    <t xml:space="preserve"> - ГОДИШЊА ИСПОРУЧЕНА ЕЛЕКТРИЧНА ЕНЕРГИЈА ПОСЛЕ УГРАДЊЕ СОЛАРНИХ ПАНЕЛА</t>
  </si>
  <si>
    <t xml:space="preserve"> - ПРОЦЕНАТ УШТЕДЕ ИСПОРУЧЕНЕ ЕНЕРГИЈЕ</t>
  </si>
  <si>
    <t xml:space="preserve"> - ЦЕНА ПОТРЕБНИХ ЕНЕРГЕНАТА НА ГОДИШЊЕМ НИВОУ ПРЕ ЗАМЕНЕ СИСТЕМА ГРЕЈАЊА ( дин. ) </t>
  </si>
  <si>
    <t xml:space="preserve"> - фактор претварања примарне енергије постојећег система грејања</t>
  </si>
  <si>
    <t xml:space="preserve"> - фактор претварања примарне енергије новог система грејања</t>
  </si>
  <si>
    <t>једноструко застакљење</t>
  </si>
  <si>
    <t>двоструко застакљење ( два стакла у истом профилу )</t>
  </si>
  <si>
    <t>двоструко застакљење ( дупла крила )</t>
  </si>
  <si>
    <t>Материјал врата која се мењају:</t>
  </si>
  <si>
    <t>Коефицијент провођења топлоте U=</t>
  </si>
  <si>
    <t>Нова инсталација:</t>
  </si>
  <si>
    <t>ако је цевна мрежа вођена кроз негрејани простор да ли је изолована?</t>
  </si>
  <si>
    <t xml:space="preserve"> - годишња уштеда због смањења вентилационих губитака</t>
  </si>
  <si>
    <t>Домаћинство је:</t>
  </si>
  <si>
    <t>информација о начину регулације:</t>
  </si>
  <si>
    <t xml:space="preserve"> - број инсталираних панела</t>
  </si>
  <si>
    <r>
      <t xml:space="preserve"> - јединична снага соларних панела у пику ( kWp / панел</t>
    </r>
    <r>
      <rPr>
        <sz val="11"/>
        <color indexed="8"/>
        <rFont val="Calibri"/>
        <family val="2"/>
      </rPr>
      <t xml:space="preserve"> )</t>
    </r>
  </si>
  <si>
    <t xml:space="preserve"> - ИЗВРШЕНА САНАЦИЈА СИСТЕМА ГРЕЈАЊА</t>
  </si>
  <si>
    <t>ИНВЕСТИЦИЈА:</t>
  </si>
  <si>
    <t>ЗИД</t>
  </si>
  <si>
    <t>За случај стандардног и напредног пакета извршен је прво прорачун уштеде потребне енергије за санацију омотача и потом са новодобијеном потребном енергијом врши се прорачун уштеде испоручене и примарне енергије;</t>
  </si>
  <si>
    <t>Рачун новчане уштеде је орјентационог карактера због сталне промене цена енергената.</t>
  </si>
  <si>
    <t>При процени уштеда остварених енергетском санацијом коришћене су одредбе:</t>
  </si>
  <si>
    <r>
      <t>Средње суме сунчевог зрачења (kWh/m</t>
    </r>
    <r>
      <rPr>
        <vertAlign val="superscript"/>
        <sz val="11"/>
        <color indexed="8"/>
        <rFont val="Calibri"/>
        <family val="2"/>
      </rPr>
      <t>2</t>
    </r>
    <r>
      <rPr>
        <sz val="11"/>
        <color theme="1"/>
        <rFont val="Calibri"/>
        <family val="2"/>
        <charset val="238"/>
        <scheme val="minor"/>
      </rPr>
      <t>)</t>
    </r>
  </si>
  <si>
    <t>Референтна област-округ:</t>
  </si>
  <si>
    <t xml:space="preserve"> - НОВИ ИЗВОР ГРЕЈАЊА</t>
  </si>
  <si>
    <t xml:space="preserve"> - Правилника о енергетској ефикасности зграда, на основу броја степен-дана за период 1991-2020 (подаци РХМЗ), за одговарајуће најближе географско место за које постоји податак;</t>
  </si>
  <si>
    <t xml:space="preserve"> - Правилника о методологији за прорачун уштеда енергије које су резултат спроведених мера енергетске ефикасности;</t>
  </si>
  <si>
    <t>За све специјалне случајеве који нису покривени овим калкулатором обратити се Јединици за Имплементацију Пројекта (нпр.изолација делова термичког омотача који нису понуђени );</t>
  </si>
  <si>
    <r>
      <t>Рачун уштеде испоручене и примарне енергије као и новчана уштеда и смањење СО</t>
    </r>
    <r>
      <rPr>
        <vertAlign val="subscript"/>
        <sz val="11"/>
        <color indexed="8"/>
        <rFont val="Calibri"/>
        <family val="2"/>
      </rPr>
      <t>2</t>
    </r>
    <r>
      <rPr>
        <sz val="11"/>
        <color theme="1"/>
        <rFont val="Calibri"/>
        <family val="2"/>
        <charset val="238"/>
        <scheme val="minor"/>
      </rPr>
      <t xml:space="preserve"> при замени начина грејања одређује се као разлика вредности са постојећим и вредности са новим енергентом;</t>
    </r>
  </si>
  <si>
    <t>КОЕФИЦИЈЕНТИ ПРОЛАЗА ТОПЛОТЕ Е ПРЕМА НАЦИОНАЛНОЈ ТИПОЛОГИЈИ И ТАБЕЛИ 7 ПРАВИЛНИКА О УШТЕДАМА ЕНЕРГИЈЕ</t>
  </si>
  <si>
    <t>чврсто гориво</t>
  </si>
  <si>
    <t>гасовито гориво</t>
  </si>
  <si>
    <t>пећи</t>
  </si>
  <si>
    <t>котлови</t>
  </si>
  <si>
    <t>са регулацијом</t>
  </si>
  <si>
    <t>Степен корисности пећи и котлова - Табела 5 Правилника о уштедама енергије</t>
  </si>
  <si>
    <t>Врста горива</t>
  </si>
  <si>
    <t>извор</t>
  </si>
  <si>
    <t>регулација</t>
  </si>
  <si>
    <t>без регулације</t>
  </si>
  <si>
    <t>Степен корисности у зависности од изолованости цевне мреже</t>
  </si>
  <si>
    <t>неизолована мрежа унутар објекта</t>
  </si>
  <si>
    <t>изолована цевна мрежа у негрејаном делу</t>
  </si>
  <si>
    <t>степен корисности</t>
  </si>
  <si>
    <r>
      <t>h</t>
    </r>
    <r>
      <rPr>
        <b/>
        <vertAlign val="subscript"/>
        <sz val="11"/>
        <color indexed="8"/>
        <rFont val="Calibri"/>
        <family val="2"/>
      </rPr>
      <t>k</t>
    </r>
  </si>
  <si>
    <r>
      <t>h</t>
    </r>
    <r>
      <rPr>
        <b/>
        <vertAlign val="subscript"/>
        <sz val="11"/>
        <color indexed="8"/>
        <rFont val="Calibri"/>
        <family val="2"/>
      </rPr>
      <t>c</t>
    </r>
  </si>
  <si>
    <r>
      <t>h</t>
    </r>
    <r>
      <rPr>
        <b/>
        <vertAlign val="subscript"/>
        <sz val="11"/>
        <color indexed="8"/>
        <rFont val="Calibri"/>
        <family val="2"/>
      </rPr>
      <t>r</t>
    </r>
  </si>
  <si>
    <t>Степен корисности у зависности од начина регулације</t>
  </si>
  <si>
    <t>аутоматсна централна и локална</t>
  </si>
  <si>
    <t>начин регулације</t>
  </si>
  <si>
    <t>аутоматсна централна</t>
  </si>
  <si>
    <r>
      <t>ПРОСЕК(kWh/m</t>
    </r>
    <r>
      <rPr>
        <b/>
        <vertAlign val="superscript"/>
        <sz val="11"/>
        <color indexed="8"/>
        <rFont val="Calibri"/>
        <family val="2"/>
      </rPr>
      <t>2</t>
    </r>
    <r>
      <rPr>
        <b/>
        <sz val="11"/>
        <color indexed="8"/>
        <rFont val="Calibri"/>
        <family val="2"/>
      </rPr>
      <t>)</t>
    </r>
  </si>
  <si>
    <t>SCOP:</t>
  </si>
  <si>
    <t>Тип топлотне пумпе:</t>
  </si>
  <si>
    <t>ваздух-ваздух</t>
  </si>
  <si>
    <t>ваздух-вода</t>
  </si>
  <si>
    <t>вода-вода</t>
  </si>
  <si>
    <t>земља-вода</t>
  </si>
  <si>
    <t>подстаница ДСГ</t>
  </si>
  <si>
    <t>ручна</t>
  </si>
  <si>
    <t>аутоматска локална ( термостат на радијатору, пећи, грејалици, клима уређају... )</t>
  </si>
  <si>
    <t>аутоматска централна ( термостат на централном извору топлоте... )</t>
  </si>
  <si>
    <t>Ug=</t>
  </si>
  <si>
    <t>Подаци о новим прозорима:</t>
  </si>
  <si>
    <t>Uw=</t>
  </si>
  <si>
    <t>Uf=</t>
  </si>
  <si>
    <r>
      <t>f</t>
    </r>
    <r>
      <rPr>
        <vertAlign val="subscript"/>
        <sz val="11"/>
        <color indexed="10"/>
        <rFont val="Calibri"/>
        <family val="2"/>
      </rPr>
      <t>fr</t>
    </r>
    <r>
      <rPr>
        <sz val="11"/>
        <color indexed="10"/>
        <rFont val="Calibri"/>
        <family val="2"/>
      </rPr>
      <t>=</t>
    </r>
  </si>
  <si>
    <t xml:space="preserve"> - фактор рама</t>
  </si>
  <si>
    <t>y=</t>
  </si>
  <si>
    <t xml:space="preserve"> - фактор топлотног моста</t>
  </si>
  <si>
    <t>Ag=</t>
  </si>
  <si>
    <t>l=</t>
  </si>
  <si>
    <t xml:space="preserve"> - укупна површина стакла свих прозора</t>
  </si>
  <si>
    <t xml:space="preserve"> - укупна површина рама свих прозора</t>
  </si>
  <si>
    <t xml:space="preserve"> - укупна дужина споја рам-стакло свих прозора</t>
  </si>
  <si>
    <t>Af=</t>
  </si>
  <si>
    <t xml:space="preserve"> </t>
  </si>
  <si>
    <r>
      <rPr>
        <sz val="11"/>
        <color indexed="10"/>
        <rFont val="Calibri"/>
        <family val="2"/>
      </rPr>
      <t>W/m</t>
    </r>
    <r>
      <rPr>
        <vertAlign val="superscript"/>
        <sz val="11"/>
        <color indexed="10"/>
        <rFont val="Calibri"/>
        <family val="2"/>
      </rPr>
      <t>2</t>
    </r>
    <r>
      <rPr>
        <sz val="11"/>
        <color indexed="10"/>
        <rFont val="Calibri"/>
        <family val="2"/>
        <charset val="238"/>
      </rPr>
      <t>K- рачунска вредност коефицијента пролаза топлоте</t>
    </r>
  </si>
  <si>
    <t>ПОДАЦИ О ИЗВРШЕНОЈ ЕНЕРГЕТСКОЈ САНАЦИЈИ КУЋЕ/СТАНА</t>
  </si>
  <si>
    <t>Надморска висина</t>
  </si>
  <si>
    <t>Укупна нето површина колектора:</t>
  </si>
  <si>
    <t>ОПШТИНА</t>
  </si>
  <si>
    <t>надморска</t>
  </si>
  <si>
    <t>реф.место</t>
  </si>
  <si>
    <t>HDD</t>
  </si>
  <si>
    <t>ОБЛАСТ-ОКРУГ</t>
  </si>
  <si>
    <t>Александровац</t>
  </si>
  <si>
    <t>Крушевац</t>
  </si>
  <si>
    <t>Алексинац</t>
  </si>
  <si>
    <t>Ниш</t>
  </si>
  <si>
    <t>Алибунар</t>
  </si>
  <si>
    <t>Банатски Карловац</t>
  </si>
  <si>
    <t>Апатин</t>
  </si>
  <si>
    <t>Сомбор</t>
  </si>
  <si>
    <t>Аранђеловац</t>
  </si>
  <si>
    <t>Смедеревска Паланка</t>
  </si>
  <si>
    <t>Ариље</t>
  </si>
  <si>
    <t>Пожега</t>
  </si>
  <si>
    <t>Бабушница</t>
  </si>
  <si>
    <t>Пирот</t>
  </si>
  <si>
    <t>Бајина Башта</t>
  </si>
  <si>
    <t>Љубовија</t>
  </si>
  <si>
    <t>Барајево</t>
  </si>
  <si>
    <t>Београд</t>
  </si>
  <si>
    <t>Баточина</t>
  </si>
  <si>
    <t>Крагујевац</t>
  </si>
  <si>
    <t>Бач</t>
  </si>
  <si>
    <t>Нови Сад</t>
  </si>
  <si>
    <t>Бачка Топола</t>
  </si>
  <si>
    <t>Бачки Петровац</t>
  </si>
  <si>
    <t>Бела Паланка</t>
  </si>
  <si>
    <t>Бела Црква</t>
  </si>
  <si>
    <t>Вршац</t>
  </si>
  <si>
    <t>Беочин</t>
  </si>
  <si>
    <t>Бечеј</t>
  </si>
  <si>
    <t>Блаце</t>
  </si>
  <si>
    <t>Куршумлија</t>
  </si>
  <si>
    <t>Богатић</t>
  </si>
  <si>
    <t>Сремска Митровица</t>
  </si>
  <si>
    <t>Бојник</t>
  </si>
  <si>
    <t>Лесковац</t>
  </si>
  <si>
    <t>Бољевац</t>
  </si>
  <si>
    <t>Зајечар</t>
  </si>
  <si>
    <t>Бор</t>
  </si>
  <si>
    <t>Босилеград</t>
  </si>
  <si>
    <t>Врање</t>
  </si>
  <si>
    <t>Брус</t>
  </si>
  <si>
    <t>Јошаничка Бања</t>
  </si>
  <si>
    <t>Бујановац</t>
  </si>
  <si>
    <t>Ваљево</t>
  </si>
  <si>
    <t>Варварин</t>
  </si>
  <si>
    <t>Велико Градиште</t>
  </si>
  <si>
    <t>Владимирци</t>
  </si>
  <si>
    <t>Лозница</t>
  </si>
  <si>
    <t>Владичин Хан</t>
  </si>
  <si>
    <t>Власотинце</t>
  </si>
  <si>
    <t>Вождовац</t>
  </si>
  <si>
    <t>Врбас</t>
  </si>
  <si>
    <t>Врњачка Бања</t>
  </si>
  <si>
    <t>Краљево</t>
  </si>
  <si>
    <t>Голубац</t>
  </si>
  <si>
    <t>Горњи Милановац</t>
  </si>
  <si>
    <t>Гроцка</t>
  </si>
  <si>
    <t>Деспотовац</t>
  </si>
  <si>
    <t>Ћуприја</t>
  </si>
  <si>
    <t>Димитровград</t>
  </si>
  <si>
    <t>Жабаљ</t>
  </si>
  <si>
    <t>Жабари</t>
  </si>
  <si>
    <t>Жагубица</t>
  </si>
  <si>
    <t>Црни Врх</t>
  </si>
  <si>
    <t>Житиште</t>
  </si>
  <si>
    <t>Зрењанин</t>
  </si>
  <si>
    <t>Звездара</t>
  </si>
  <si>
    <t>Земун</t>
  </si>
  <si>
    <t>Ивањица</t>
  </si>
  <si>
    <t>Инђија</t>
  </si>
  <si>
    <t>Ириг</t>
  </si>
  <si>
    <t>Кањижа</t>
  </si>
  <si>
    <t>Палић</t>
  </si>
  <si>
    <t>Кикинда</t>
  </si>
  <si>
    <t>Кнић</t>
  </si>
  <si>
    <t>Књажевац</t>
  </si>
  <si>
    <t>Ковачица</t>
  </si>
  <si>
    <t>Ковин</t>
  </si>
  <si>
    <t>Косјерић</t>
  </si>
  <si>
    <t>Коцељева</t>
  </si>
  <si>
    <t>Кула</t>
  </si>
  <si>
    <t>Кучево</t>
  </si>
  <si>
    <t>Лазаревац</t>
  </si>
  <si>
    <t>Лапово</t>
  </si>
  <si>
    <t>Лебане</t>
  </si>
  <si>
    <t>Лучани</t>
  </si>
  <si>
    <t>Мајданпек</t>
  </si>
  <si>
    <t>Неготин</t>
  </si>
  <si>
    <t>Мали Зворник</t>
  </si>
  <si>
    <t>Мали Иђош</t>
  </si>
  <si>
    <t>Мало Црниће</t>
  </si>
  <si>
    <t>Мерошина</t>
  </si>
  <si>
    <t>Младеновац</t>
  </si>
  <si>
    <t>Нова Варош</t>
  </si>
  <si>
    <t>Сјеница</t>
  </si>
  <si>
    <t>Нова Црња</t>
  </si>
  <si>
    <t>Нови Бечеј</t>
  </si>
  <si>
    <t>Нови Кнежевац</t>
  </si>
  <si>
    <t>Нови Пазар</t>
  </si>
  <si>
    <t>Обреновац</t>
  </si>
  <si>
    <t>Сурчин</t>
  </si>
  <si>
    <t>Опово</t>
  </si>
  <si>
    <t>Оџаци</t>
  </si>
  <si>
    <t>Палилула</t>
  </si>
  <si>
    <t>Панчево</t>
  </si>
  <si>
    <t>Параћин</t>
  </si>
  <si>
    <t>Петровац на Млави</t>
  </si>
  <si>
    <t>Пећинци</t>
  </si>
  <si>
    <t>Пландиште</t>
  </si>
  <si>
    <t>Пожаревац</t>
  </si>
  <si>
    <t>Прешево</t>
  </si>
  <si>
    <t>Прибој</t>
  </si>
  <si>
    <t>РЦ Ужице</t>
  </si>
  <si>
    <t>Пријепоље</t>
  </si>
  <si>
    <t>Прокупље</t>
  </si>
  <si>
    <t>Раковица</t>
  </si>
  <si>
    <t>Рача</t>
  </si>
  <si>
    <t>Савски Венац</t>
  </si>
  <si>
    <t>Свилајнац</t>
  </si>
  <si>
    <t>Сента</t>
  </si>
  <si>
    <t>Сечањ</t>
  </si>
  <si>
    <t>Смедерево</t>
  </si>
  <si>
    <t>Сокобања</t>
  </si>
  <si>
    <t>Србобран</t>
  </si>
  <si>
    <t>Сремски Карловци</t>
  </si>
  <si>
    <t>Стара Пазова</t>
  </si>
  <si>
    <t>Суботица</t>
  </si>
  <si>
    <t>Темерин</t>
  </si>
  <si>
    <t>Тител</t>
  </si>
  <si>
    <t>Топола</t>
  </si>
  <si>
    <t>Трговиште</t>
  </si>
  <si>
    <t>Трстеник</t>
  </si>
  <si>
    <t>Тутин</t>
  </si>
  <si>
    <t>Ужице</t>
  </si>
  <si>
    <t>Чајетина</t>
  </si>
  <si>
    <t>Златибор</t>
  </si>
  <si>
    <t>Чачак</t>
  </si>
  <si>
    <t>Шабац</t>
  </si>
  <si>
    <t>Шид</t>
  </si>
  <si>
    <t>Копаоник</t>
  </si>
  <si>
    <t>Кошутњак</t>
  </si>
  <si>
    <t>Блажево</t>
  </si>
  <si>
    <t>Каона</t>
  </si>
  <si>
    <t>Ратковић</t>
  </si>
  <si>
    <t>РЦ Кукавица</t>
  </si>
  <si>
    <t>РЦ Сјеница</t>
  </si>
  <si>
    <t>РЦ  Крушевац</t>
  </si>
  <si>
    <t>РЦ Ваљево</t>
  </si>
  <si>
    <t>РЦ Ниш</t>
  </si>
  <si>
    <t xml:space="preserve">РЦ Петровац </t>
  </si>
  <si>
    <t>Чумић</t>
  </si>
  <si>
    <t>Јастребац</t>
  </si>
  <si>
    <t>Карајукића Бунари</t>
  </si>
  <si>
    <t>Крупањ</t>
  </si>
  <si>
    <t>m3  (pm)</t>
  </si>
  <si>
    <t>kJ/m3</t>
  </si>
  <si>
    <t>kg</t>
  </si>
  <si>
    <t>kJ/kg</t>
  </si>
  <si>
    <t>kWh/kWh</t>
  </si>
  <si>
    <t>m3</t>
  </si>
  <si>
    <t>Годишња потрошња (дин.):</t>
  </si>
  <si>
    <t>Годишња уштеда (дин.):</t>
  </si>
  <si>
    <t>Период отплате (год.):</t>
  </si>
  <si>
    <t>нема инсталације ( код уградње топлотних пумпи и локалног грејања пећима )</t>
  </si>
  <si>
    <t>Замена спољних прозора и врата;</t>
  </si>
  <si>
    <t>Постављања термичке изолације спољних зидова</t>
  </si>
  <si>
    <t>Постављања термичке изолације испод кровног покривача или таванице</t>
  </si>
  <si>
    <t>Замене постојећег грејача простора ефикаснијим котлом на_гас</t>
  </si>
  <si>
    <t>Замене постојећег грејача простора ефикаснијим котлом на биомасу</t>
  </si>
  <si>
    <t>Уградња топлотних пумпи</t>
  </si>
  <si>
    <t>Уградња соларних колектора у инсталацију за централну припрему потрошне топле воде</t>
  </si>
  <si>
    <t>Уградња соларних панела и пратеће инсталације за производњу електричне енергије</t>
  </si>
  <si>
    <t>ДА</t>
  </si>
  <si>
    <t>НЕ</t>
  </si>
  <si>
    <t>Врста постојећег застакљења:</t>
  </si>
  <si>
    <t>Цена енергента:</t>
  </si>
  <si>
    <t>kJ/t</t>
  </si>
  <si>
    <t>t</t>
  </si>
  <si>
    <t>Цена новог енергента:</t>
  </si>
  <si>
    <t>Степен корисности/SCOP:</t>
  </si>
  <si>
    <t>Нови топлотни извор:</t>
  </si>
  <si>
    <t>Котао на гас</t>
  </si>
  <si>
    <t>Котао на пелет</t>
  </si>
  <si>
    <t>Топлотна пумпа</t>
  </si>
  <si>
    <t>Извор постојећег грејања ПТВ:</t>
  </si>
  <si>
    <t>УГРАДЊА СОЛАРНИХ ПАНЕЛА ЗА ПРОИЗВОДЊУ ЕЛЕКТРИЧНЕ ЕНЕРГИЈЕ</t>
  </si>
  <si>
    <t>Енергетски разред постојећи:</t>
  </si>
  <si>
    <t>Zgrade sa jednim stanom</t>
  </si>
  <si>
    <t>nove</t>
  </si>
  <si>
    <t>postojeće</t>
  </si>
  <si>
    <r>
      <t>Q</t>
    </r>
    <r>
      <rPr>
        <i/>
        <sz val="5"/>
        <color indexed="8"/>
        <rFont val="Arial"/>
        <family val="2"/>
      </rPr>
      <t>H,nd,rel</t>
    </r>
  </si>
  <si>
    <r>
      <t>Q</t>
    </r>
    <r>
      <rPr>
        <i/>
        <sz val="5"/>
        <color indexed="8"/>
        <rFont val="Arial"/>
        <family val="2"/>
      </rPr>
      <t>H,nd</t>
    </r>
  </si>
  <si>
    <t>A+</t>
  </si>
  <si>
    <t>A</t>
  </si>
  <si>
    <t>B</t>
  </si>
  <si>
    <t>C</t>
  </si>
  <si>
    <t>D</t>
  </si>
  <si>
    <t>E</t>
  </si>
  <si>
    <t>≤ [%]</t>
  </si>
  <si>
    <r>
      <t>≤ [kWh/(m</t>
    </r>
    <r>
      <rPr>
        <sz val="5"/>
        <color indexed="8"/>
        <rFont val="Arial"/>
        <family val="2"/>
      </rPr>
      <t>2</t>
    </r>
    <r>
      <rPr>
        <sz val="11"/>
        <color indexed="8"/>
        <rFont val="Arial"/>
        <family val="2"/>
      </rPr>
      <t>a)]</t>
    </r>
  </si>
  <si>
    <r>
      <t>≤ [kWh/m</t>
    </r>
    <r>
      <rPr>
        <sz val="5"/>
        <color indexed="8"/>
        <rFont val="Arial"/>
        <family val="2"/>
      </rPr>
      <t>2</t>
    </r>
    <r>
      <rPr>
        <sz val="11"/>
        <color indexed="8"/>
        <rFont val="Arial"/>
        <family val="2"/>
      </rPr>
      <t>a)]</t>
    </r>
  </si>
  <si>
    <t>F</t>
  </si>
  <si>
    <t>G</t>
  </si>
  <si>
    <t>&gt; 250</t>
  </si>
  <si>
    <t>&gt; 163</t>
  </si>
  <si>
    <t>Zgrade sa više stanova</t>
  </si>
  <si>
    <t>&gt;150</t>
  </si>
  <si>
    <t>Замена/уградња цевне мреже?</t>
  </si>
  <si>
    <t>Тип домаћинства:</t>
  </si>
  <si>
    <t>Енергетски разред нови:</t>
  </si>
  <si>
    <t xml:space="preserve"> - корекција - стварна потрошња енергије</t>
  </si>
  <si>
    <t>Изложеност ветру:</t>
  </si>
  <si>
    <t>изграђена до:</t>
  </si>
  <si>
    <t>породично становање - до 4 стана</t>
  </si>
  <si>
    <t>слободно стојећа</t>
  </si>
  <si>
    <t>у низу</t>
  </si>
  <si>
    <t>ламела</t>
  </si>
  <si>
    <t>солитер</t>
  </si>
  <si>
    <t>вишепородично становање - преко 4 стана</t>
  </si>
  <si>
    <t>Слободностојећа зграда</t>
  </si>
  <si>
    <t>Ламела</t>
  </si>
  <si>
    <t>Солитер</t>
  </si>
  <si>
    <t>РУЧНА</t>
  </si>
  <si>
    <t>АУТОМАТСКА</t>
  </si>
  <si>
    <t>Врста регулације на грејним телима:</t>
  </si>
  <si>
    <t>Врши се уградња термостатских вентила или термостата?</t>
  </si>
  <si>
    <t>Energ.razred</t>
  </si>
  <si>
    <t>УПУТСТВО:</t>
  </si>
  <si>
    <t xml:space="preserve"> - унети вредност</t>
  </si>
  <si>
    <t>Цена постојећег енергента:</t>
  </si>
  <si>
    <t>Просечна цена електичне енергије:</t>
  </si>
  <si>
    <t>дин./kWh</t>
  </si>
  <si>
    <t>ОПШТИ ПОДАЦИ:</t>
  </si>
  <si>
    <t>1. Попуњавати само жута поља:</t>
  </si>
  <si>
    <t>Проценат уштеде енергије:</t>
  </si>
  <si>
    <t>Цена уштеде 1 kWh  (дин.):</t>
  </si>
  <si>
    <t xml:space="preserve"> - ЖИВОТНИ ВЕК ПРОЗОРА</t>
  </si>
  <si>
    <t xml:space="preserve"> - ЖИВОТНИ ВЕК ИЗОЛАЦИЈЕ</t>
  </si>
  <si>
    <t xml:space="preserve"> - ЖИВОТНИ ВЕК СОЛАРНИХ КОЛЕКТОРА</t>
  </si>
  <si>
    <t xml:space="preserve"> - ЖИВОТНИ ВЕК СОЛАРНИХ ПАНЕЛА</t>
  </si>
  <si>
    <t>ЕНЕРГЕТСКИ КАЛКУЛАТОР</t>
  </si>
  <si>
    <t>Ада</t>
  </si>
  <si>
    <t>Велика Плана</t>
  </si>
  <si>
    <t>Врачар</t>
  </si>
  <si>
    <t>Гњилане</t>
  </si>
  <si>
    <t>Житорађа</t>
  </si>
  <si>
    <t>Кладово</t>
  </si>
  <si>
    <t>Косовска Митровица</t>
  </si>
  <si>
    <t>Лајковац</t>
  </si>
  <si>
    <t>Медвеђа</t>
  </si>
  <si>
    <t>Мионица</t>
  </si>
  <si>
    <t>Нови Београд</t>
  </si>
  <si>
    <t>Стари Град</t>
  </si>
  <si>
    <t>Чока</t>
  </si>
  <si>
    <t>УВОДНЕ НАПОМЕНЕ:</t>
  </si>
  <si>
    <t>Узет је у обзир прекид грејања коефицијентом у вредности од 0.85</t>
  </si>
  <si>
    <t>б)</t>
  </si>
  <si>
    <t>в)</t>
  </si>
  <si>
    <t xml:space="preserve">За детаљнији прорачун препорука грађанима је да се обрате лиценцираном инжењеру енергетске ефикасности ради </t>
  </si>
  <si>
    <t xml:space="preserve">израде елабората енергетске ефикасности. </t>
  </si>
  <si>
    <t>СПЕЦИФИЧНОСТИ КАЛКУЛАТОРА:</t>
  </si>
  <si>
    <t xml:space="preserve"> - Правилника о енергетској ефикасности зграда, на основу броја степен-дана за период 1991-2020 (подаци РХМЗ), </t>
  </si>
  <si>
    <t xml:space="preserve">   за одговарајуће најближе географско место за које постоји податак;</t>
  </si>
  <si>
    <t xml:space="preserve">За прецизнији избор параметара и специјалне случајеве који нису покривени овим калкулатором обратити се меилом </t>
  </si>
  <si>
    <t>на адресу javnipoziv.surce@mre.gov.rs са напоменом " за технички део ПИУ тима";</t>
  </si>
  <si>
    <t xml:space="preserve">За случај примене више мера извршен је прво прорачун уштеде потребне енергије за санацију омотача и потом са </t>
  </si>
  <si>
    <t>новодобијеном потребном енергијом врши се прорачун уштеде испоручене и примарне енергије;</t>
  </si>
  <si>
    <t xml:space="preserve">Уштеда при замени котла и уградњи топлотне пумпе рачуна се са специфичном потребном енергијом SHD као улазним </t>
  </si>
  <si>
    <t>податком преузетим из националне типологије и Табеле 13 Правилника о уштедама;</t>
  </si>
  <si>
    <t>одређује се као разлика вредности са постојећим и вредности са новим енергентом;</t>
  </si>
  <si>
    <t>Уношење прецизних актуелних цена енергената је битно за добијање квалитетних економских показатеља.</t>
  </si>
  <si>
    <t>2. Битније напомене су увек видљиве, остале се појављују када се курсором дође изнад поља са напоменом.</t>
  </si>
  <si>
    <t>3. У напоменама су дате орјентационе вредности за величине које се уносе.</t>
  </si>
  <si>
    <t>5. Корекција потрошње горива:</t>
  </si>
  <si>
    <r>
      <t xml:space="preserve"> - Правилника о факторима конверзије финалне енергије у примарну и факторима емисије CO</t>
    </r>
    <r>
      <rPr>
        <vertAlign val="subscript"/>
        <sz val="11"/>
        <color indexed="60"/>
        <rFont val="Calibri"/>
        <family val="2"/>
      </rPr>
      <t>2</t>
    </r>
    <r>
      <rPr>
        <sz val="11"/>
        <color indexed="60"/>
        <rFont val="Calibri"/>
        <family val="2"/>
      </rPr>
      <t>;</t>
    </r>
  </si>
  <si>
    <t xml:space="preserve">Рачун уштеде испоручене и примарне енергије као и новчана уштеда при замени начина грејања </t>
  </si>
  <si>
    <t xml:space="preserve">     - програм врши процену годишње потрошња коришћеног енергента када су унети сви "ОПШТИ ПОДАЦИ",</t>
  </si>
  <si>
    <t xml:space="preserve">     - на овај начин се добијају прецизнији подаци о очекиваним уштедама.</t>
  </si>
  <si>
    <t>Висина грејаног дела - чиста (m):</t>
  </si>
  <si>
    <t>Врста конструкција:</t>
  </si>
  <si>
    <t xml:space="preserve"> - ЖИВОТНИ ВЕК КОТЛА/ТОПЛОТНЕ ПУМПЕ</t>
  </si>
  <si>
    <t>Дебљина нове изолације (цм):</t>
  </si>
  <si>
    <t>Постојећа цевна мрежа је изолована?</t>
  </si>
  <si>
    <t xml:space="preserve">4. У поље "Површина стана/куће" уноси се вредност стамбене површине која се користи као основица при </t>
  </si>
  <si>
    <t xml:space="preserve">    постојећи и нови енергетски разред.</t>
  </si>
  <si>
    <t xml:space="preserve">    одређивању дажбина (порез, ел.енергија, инфостан и сл. ). На основу ове површине процењују се </t>
  </si>
  <si>
    <t>КЉУЧНЕ ВРЕДНОСТИ КОЈЕ ОДЛУЧУЈУ ВРСТУ МЕРЕ КОЈУ ТРЕБА ПРИМЕНИТИ:</t>
  </si>
  <si>
    <t>ПЛАЋЕНА ВРЕДНОСТ УШТЕДЕ kWh.</t>
  </si>
  <si>
    <t>ВРЕДНОСТ ИНВЕСТИЦИЈЕ,</t>
  </si>
  <si>
    <t>ЦЕНА ЕНЕРГЕНТА,</t>
  </si>
  <si>
    <t>ГОДИШЊА УШТЕДА ЕНЕРГИЈЕ И НОВЦА,</t>
  </si>
  <si>
    <t>ПЕРИОД ОТПЛАТЕ,</t>
  </si>
  <si>
    <t>ЖИВОТНИ ВЕК МЕРЕ – ТРАЈНОСТ,</t>
  </si>
  <si>
    <t>НА ОСНОВУ ИСКУСТАВА И ДОСАДАШЊИХ ПОДАТАКА МОЖЕМО ДА СУГЕРИШЕМО РЕДОСЛЕД ПРИМЕНЕ МЕРА:</t>
  </si>
  <si>
    <t>УГРАДЊА ФОТОНАПОНСКИХ ПАНЕЛА И СОЛАРНИХ КОЛЕКТОРА</t>
  </si>
  <si>
    <t>ИЗОЛАЦИЈА ФАСАДЕ И КРОВА</t>
  </si>
  <si>
    <t>ЗАМЕНА ПРОЗОРА</t>
  </si>
  <si>
    <t>ПОБОЉШАЊЕ СИСТЕМА ГРЕЈАЊА</t>
  </si>
  <si>
    <t xml:space="preserve"> - </t>
  </si>
  <si>
    <t xml:space="preserve">ТЕРМИЧКИ ОМОТАЧ – ПОВРШИНА УНУТАР КОЈЕ ЈЕ ГРЕЈАНИ СТАМБЕНИ ДЕО. У ПРИНЦИПУ ОБЈЕКТИ БИ ТРЕБАЛО ДА СУ КОНЦИПИРАНИ </t>
  </si>
  <si>
    <t xml:space="preserve">ТАКО ДА СУ МАЊЕ НЕГРЕЈАНЕ ПРОСТОРИЈЕ КАО ШТО СУ ОСТАВЕ И ТОАЛЕТИ УНУТАР ТЕРМИЧКОГ ОМОТАЧА, А ВЕЋЕ НЕГРЕЈАНЕ </t>
  </si>
  <si>
    <t xml:space="preserve">ПРОСТОРИЈЕ КАО ГАРАЖЕ И НЕГРЕЈАНИ ТАВАН ИЗВАН ТЕРМИЧКОГ ОМОТАЧА. Грубо говорећи то је површина кроз коју нам „бежи“ топлота. </t>
  </si>
  <si>
    <t xml:space="preserve">Поред овога битно је рећи да добар део топлоте губимо ваздухом који излази напоље кроз процепе прозора и сл. при вентилирању, </t>
  </si>
  <si>
    <t xml:space="preserve">када у објекат улази хладан ваздух на чије загревање се троши топлота. Удео ових вентилационих губитака у укупним губицима </t>
  </si>
  <si>
    <t xml:space="preserve">топлоте је за неизоловане објекте реда величине 30% док код добро изолованих објеката расте до 50%. Треба разумети да је свеж ваздух </t>
  </si>
  <si>
    <t>неопходан за квалитетан живот па на овај губитак морамо да рачунамо.</t>
  </si>
  <si>
    <t xml:space="preserve">Ако је фасада неизолована, и ако не посотоје делови објекта који се не користе, постављањем изолације може да се очекује </t>
  </si>
  <si>
    <t xml:space="preserve">уштада око 25% енергије тј. енергента. Слично је и са изолацијом крова. Изолацијом ка негрејаном тавану очекује се нешто мања уштеда. </t>
  </si>
  <si>
    <t xml:space="preserve">Изолацијом пода на тлу или пода изнад негрејаног подрума може се уштедети до 15%. Заменом дотрајалих прозора са лошом заптивеношћу </t>
  </si>
  <si>
    <t xml:space="preserve">Коефицијент пролаза топлоте за неизоловани зид од цигле или гитер блока је реда величине 1,5 W/m2K. Када се на тај зид постави 10 цм изолације </t>
  </si>
  <si>
    <t xml:space="preserve">коефицијент пада на цца 0,3 W/m2K. Тада ћемо губити 5 пута мање топлоте кроз фасаду. Ипак зато што топлоту губимо и кроз кров, под и прозоре, </t>
  </si>
  <si>
    <t xml:space="preserve">Систем који се најчешће користи при изолацији постојећих објеката је контактна фасада. Најчешће коришћене изолације су </t>
  </si>
  <si>
    <t>минералне вуне (камена и стаклена), стиропор (EPS),стиродур (XPS), полиуретан (PUR). Неопходно је мислити о следећим карактеристикама изолације:</t>
  </si>
  <si>
    <t>Трајност</t>
  </si>
  <si>
    <t>Горивост</t>
  </si>
  <si>
    <t>Отпорност на влагу и мраз</t>
  </si>
  <si>
    <t>Паропропусност</t>
  </si>
  <si>
    <t>Чврстоћу</t>
  </si>
  <si>
    <t>Изолација крова или таванице се ради на другачији начин али горња разматрања, осим што је минимална дебљина изолације 20 цм, важе и у овом случају.</t>
  </si>
  <si>
    <t xml:space="preserve">У јавном позиву је прописана минимална дебљина изолације, али треба рећи да оптимална дебљина изолације може бити већа, и та одлука би требала </t>
  </si>
  <si>
    <t xml:space="preserve">да произађе из елабората енергетске ефикасности при чијој изради је могуће упоредити ефекте различитих дебљина изолације. Генерална препорука је </t>
  </si>
  <si>
    <t xml:space="preserve">Када причамо о прозорима, ситуација је мало сложенија јер су у игри и горе поменути вентилациони губици. Треба истаћи да ће нови прозори </t>
  </si>
  <si>
    <t xml:space="preserve">имати 2 до 3 пута бољи коефицијент пролаза топлоте у односу на старе прозоре. Ако су постојећи прозори лоше заптивени, много већа уштеда </t>
  </si>
  <si>
    <t>се очекује због смањења вентилационих губитака.</t>
  </si>
  <si>
    <t xml:space="preserve">МЕРЕ ЕНЕРГЕТСКЕ САНАЦИЈЕ ДЕЛИМО НА </t>
  </si>
  <si>
    <t xml:space="preserve">ПОБОЉШАЊЕ ТЕРМИЧКОГ ОМОТАЧА, </t>
  </si>
  <si>
    <t xml:space="preserve">ПОБОЉШАЊЕ СИСТЕМА ГРЕЈАЊА И </t>
  </si>
  <si>
    <t>УПОТРЕБУ СУНЧЕВЕ ЕНЕРГИЈЕ</t>
  </si>
  <si>
    <t>a)</t>
  </si>
  <si>
    <t xml:space="preserve">Наравно све ове вредности су оквирне, зависе од конкретног случаја и израдом елабората енергетске ефикасности могу се доста прецизније </t>
  </si>
  <si>
    <t>предвидети очекиване уштеде.</t>
  </si>
  <si>
    <t>Наша препорука је коришћење камене вуне због тога што даје најбоље резултате када причамо о горњим особинама.</t>
  </si>
  <si>
    <t>као и на загревање свежег ваздуха, укупна уштеда неће пасти на 1/5 већ може бити до 25%.</t>
  </si>
  <si>
    <t>може се очекивати уштеда до 20%.</t>
  </si>
  <si>
    <t>да се фасада изводи са 12-15 цм изолације а да се кров изводи са 20-25 цм изолације.</t>
  </si>
  <si>
    <t>(процена уштеде применом мера енергетске санације за конкретно домаћинство)</t>
  </si>
  <si>
    <t>Енергетски калкулатор служи брзој процени уштеде за конкретно домаћинство и конкретну меру енергетске санације.</t>
  </si>
  <si>
    <t>Енергетски калкулатор даје процену периода отплате инвестиције, годишње уштеде енергије и новца и цену уштеде 1 kWh,</t>
  </si>
  <si>
    <t>тако да грађани на основу ових економских параметара могу да одлуче коју меру енергетске санације да примене.</t>
  </si>
  <si>
    <t>Однос прорачунске и стварне потрошње енергента:</t>
  </si>
  <si>
    <t>Снага система панела у пику:</t>
  </si>
  <si>
    <t>Расположива годишња производња ( kWh ):</t>
  </si>
  <si>
    <t xml:space="preserve"> -верзија</t>
  </si>
  <si>
    <t>Када је завршена санација термичког омотача препорука је да се приступи побољшању система грејања, при чему је цена енергента кључни фактор.</t>
  </si>
  <si>
    <t>При томе треба имати у виду да досадашња динамична промена цена енергената на тржишту указује на смањену моћ предвиђања кретања цена,</t>
  </si>
  <si>
    <t>и из поменутог разлога не може се дати препорука за избор мере за побољшање техничког система грејања.</t>
  </si>
  <si>
    <t>Препорука која се може дати је пажљиво одмеравање цене енергента, цене инвестиције и животног века опреме.</t>
  </si>
  <si>
    <t>инвестиционе цене и повољног коефицијента грејања.</t>
  </si>
  <si>
    <t xml:space="preserve">Када су у питању топлотне пумпе треба размислити о  примени топлотних пумпи типа "ваздух-ваздух" у виду више појединачних "сплит" уређаја због најниже </t>
  </si>
  <si>
    <t xml:space="preserve">Када су у питању котлови на гас треба размотрити примену кондензационих котлова. </t>
  </si>
  <si>
    <t xml:space="preserve">Код котлова на пелет обратити пажњу на начина убацивања пелета у ложиште да би се избегли проблеми који се могу јавити са различитим врстама пелета. </t>
  </si>
  <si>
    <t>Код уградње соларних колектора кључни параметар је количина топле воде која се користи - што је већа потрошња топле воде брже се исплати ова инвестиција.</t>
  </si>
  <si>
    <t>На потрошњу топле воде утичу битно број чланова домаћинства заједно са навикама у потрошњи.</t>
  </si>
  <si>
    <t>Потребно је добро проценити потрошњу и према томе димензионисати површину соларних колектора.</t>
  </si>
  <si>
    <t>УГРАДЊА СОЛАРНИХ КОЛЕКТОРА ЗА ПРИПРЕМУ ПОТРОШНЕ ТОПЛЕ ВОДЕ</t>
  </si>
  <si>
    <t>Код уградње соларних панела кључни параметар је годишња потрошња електричне енергије према којој треба димензионисати снагу (површину) система панела.</t>
  </si>
  <si>
    <t xml:space="preserve">Предимензионирани систем соларних панела производиће више од годишње потрошње електричне енергије и тај вишак, према важећој регулативи, </t>
  </si>
  <si>
    <t>не може бити искоришћен.</t>
  </si>
  <si>
    <t xml:space="preserve">     - ако се та процењена потрошња не поклапа са стварном годишњом потрошњом потребно је извршити корекцију </t>
  </si>
  <si>
    <t xml:space="preserve">       ради добијања прецизнијих података о уштедама.</t>
  </si>
  <si>
    <t>Снага система соларних панела у пику (kWp ):</t>
  </si>
  <si>
    <t>Дебљина грађевинске конструкције (cm):</t>
  </si>
  <si>
    <t xml:space="preserve">     - корекција се врши у пољу  D14 ("Годишња потрошња енергента") уношењем потрошње у јединици која зависи од врсте енергента </t>
  </si>
  <si>
    <t xml:space="preserve">       а која ће се после уноса врсте енергента појавити у пољу E14.</t>
  </si>
  <si>
    <t>ПОСТАВЉАЊЕ ТЕРМИЧКЕ ИЗОЛАЦИЈЕ – МЕРЕ 2) или 3) из Јавног позива</t>
  </si>
  <si>
    <t>Годишња уштеда испоручене енергије(kWh.):</t>
  </si>
  <si>
    <t>ЗАМЕНА ПОСТОЈЕЋЕГ ГРЕЈАЧА КОТЛОМ НА ГАС ИЛИ ПЕЛЕТ ИЛИ УГРАДЊА ТОПЛОТНЕ ПУМПЕ – МЕРЕ 4) или 5) или 6) и/или 7) из Јавног позива</t>
  </si>
  <si>
    <t>Процена потрошње енергента:</t>
  </si>
  <si>
    <t xml:space="preserve">       која се појављује у пољу D13 - "Процена потрошње енергента".</t>
  </si>
  <si>
    <r>
      <t>Годишња потрошња енергента (m</t>
    </r>
    <r>
      <rPr>
        <b/>
        <vertAlign val="superscript"/>
        <sz val="11"/>
        <color indexed="8"/>
        <rFont val="Calibri"/>
        <family val="2"/>
      </rPr>
      <t>3</t>
    </r>
    <r>
      <rPr>
        <b/>
        <sz val="11"/>
        <color indexed="8"/>
        <rFont val="Calibri"/>
        <family val="2"/>
      </rPr>
      <t>,t,kWh):</t>
    </r>
  </si>
  <si>
    <r>
      <t>Површина стана/куће (m</t>
    </r>
    <r>
      <rPr>
        <b/>
        <vertAlign val="superscript"/>
        <sz val="11"/>
        <color indexed="8"/>
        <rFont val="Calibri"/>
        <family val="2"/>
      </rPr>
      <t>2</t>
    </r>
    <r>
      <rPr>
        <b/>
        <sz val="11"/>
        <color indexed="8"/>
        <rFont val="Calibri"/>
        <family val="2"/>
      </rPr>
      <t>):</t>
    </r>
  </si>
  <si>
    <r>
      <t>Q</t>
    </r>
    <r>
      <rPr>
        <b/>
        <vertAlign val="subscript"/>
        <sz val="11"/>
        <color indexed="8"/>
        <rFont val="Calibri"/>
        <family val="2"/>
      </rPr>
      <t>H,ND</t>
    </r>
    <r>
      <rPr>
        <b/>
        <sz val="11"/>
        <color indexed="8"/>
        <rFont val="Calibri"/>
        <family val="2"/>
      </rPr>
      <t xml:space="preserve"> ( kWh/god )</t>
    </r>
  </si>
  <si>
    <r>
      <t>Површина која се изолује ( м</t>
    </r>
    <r>
      <rPr>
        <b/>
        <vertAlign val="superscript"/>
        <sz val="11"/>
        <rFont val="Calibri"/>
        <family val="2"/>
      </rPr>
      <t>2</t>
    </r>
    <r>
      <rPr>
        <b/>
        <sz val="11"/>
        <rFont val="Calibri"/>
        <family val="2"/>
      </rPr>
      <t xml:space="preserve"> )</t>
    </r>
  </si>
  <si>
    <r>
      <rPr>
        <b/>
        <sz val="11"/>
        <rFont val="Calibri"/>
        <family val="2"/>
      </rPr>
      <t>Коефицијент провођења топлоте ( W/mK)</t>
    </r>
    <r>
      <rPr>
        <b/>
        <sz val="11"/>
        <rFont val="Symbol"/>
        <family val="1"/>
        <charset val="2"/>
      </rPr>
      <t xml:space="preserve"> l</t>
    </r>
    <r>
      <rPr>
        <b/>
        <sz val="11"/>
        <rFont val="Calibri"/>
        <family val="2"/>
        <charset val="238"/>
      </rPr>
      <t>=</t>
    </r>
  </si>
  <si>
    <r>
      <t>Укупна нето површина колектора (m</t>
    </r>
    <r>
      <rPr>
        <b/>
        <vertAlign val="superscript"/>
        <sz val="11"/>
        <color indexed="8"/>
        <rFont val="Calibri"/>
        <family val="2"/>
      </rPr>
      <t>2</t>
    </r>
    <r>
      <rPr>
        <b/>
        <sz val="11"/>
        <color indexed="8"/>
        <rFont val="Calibri"/>
        <family val="2"/>
      </rPr>
      <t>):</t>
    </r>
  </si>
  <si>
    <t>12.11.24</t>
  </si>
  <si>
    <t>Аутор:</t>
  </si>
  <si>
    <t>Живојин Ступаревић, дипл.инш.маш.</t>
  </si>
  <si>
    <t>Површина спољних прозора и врата која се мењају:</t>
  </si>
  <si>
    <t>Заптивеност постојећих спољних прозора и врата:</t>
  </si>
  <si>
    <t>Тип постојећих спољних прозора и врата која се мењају:</t>
  </si>
  <si>
    <t>Површина унутрашњих врата ка негрејаном простору која се мењају:</t>
  </si>
  <si>
    <t>Материјал унутрашњих врата ка негрејаном простору која се мењају:</t>
  </si>
  <si>
    <r>
      <t>Коефицијент  U (W/m</t>
    </r>
    <r>
      <rPr>
        <b/>
        <vertAlign val="superscript"/>
        <sz val="11"/>
        <rFont val="Calibri"/>
        <family val="2"/>
      </rPr>
      <t>2</t>
    </r>
    <r>
      <rPr>
        <b/>
        <sz val="11"/>
        <rFont val="Calibri"/>
        <family val="2"/>
      </rPr>
      <t>K) нових унутрашњих врата ка негрејаном простору:</t>
    </r>
  </si>
  <si>
    <r>
      <t>Коефицијент  U (W/m</t>
    </r>
    <r>
      <rPr>
        <b/>
        <vertAlign val="superscript"/>
        <sz val="11"/>
        <rFont val="Calibri"/>
        <family val="2"/>
      </rPr>
      <t>2</t>
    </r>
    <r>
      <rPr>
        <b/>
        <sz val="11"/>
        <rFont val="Calibri"/>
        <family val="2"/>
      </rPr>
      <t>K) нових спољних прозора и врата:</t>
    </r>
  </si>
  <si>
    <t xml:space="preserve"> - изабрати из падајуће листе, ОБАВЕЗНО ПОЉЕ !!!</t>
  </si>
  <si>
    <t xml:space="preserve"> - унети вредност, ОБАВЕЗНО ПОЉЕ !!!</t>
  </si>
  <si>
    <t>Није дозвољена измена програма без сагласности аутора програма.</t>
  </si>
  <si>
    <t>За информације обратити се аутору који је члан Јединици за имплементацију пројекта: zivojin.stuparevic@mre.gov.rs, тел.: 011/6962136</t>
  </si>
  <si>
    <t>УГРАДЊА СОЛАРНИХ КОЛЕКТОРА У ИНСТАЛАЦИЈУ ЗА ЦЕНТРАЛНУ ПРИПРЕМУ ПОТРОШНЕ ТОПЛЕ ВОДЕ - МЕРА 8) из јавног позива</t>
  </si>
  <si>
    <t>УГРАДЊА СОЛАРНИХ ПАНЕЛА ЗА ПРОИЗВОДЊУ ЕЛЕКТРИЧНЕ ЕНЕРГИЈЕ - МЕРА 9) из јавног позива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</si>
</sst>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0"/>
    <numFmt numFmtId="168" formatCode="0.00000"/>
    <numFmt numFmtId="169" formatCode="0.000"/>
    <numFmt numFmtId="170" formatCode="0.000000"/>
  </numFmts>
  <fonts count="88">
    <font>
      <sz val="11"/>
      <color theme="1"/>
      <name val="Calibri"/>
      <family val="2"/>
      <charset val="238"/>
      <scheme val="minor"/>
    </font>
    <font>
      <sz val="11"/>
      <color indexed="8"/>
      <name val="Calibri"/>
      <family val="2"/>
    </font>
    <font>
      <b/>
      <sz val="11"/>
      <color indexed="8"/>
      <name val="Calibri"/>
      <family val="2"/>
    </font>
    <font>
      <sz val="11"/>
      <color indexed="10"/>
      <name val="Calibri"/>
      <family val="2"/>
      <charset val="238"/>
    </font>
    <font>
      <sz val="11"/>
      <color indexed="10"/>
      <name val="Symbol"/>
      <family val="1"/>
      <charset val="2"/>
    </font>
    <font>
      <sz val="7"/>
      <color indexed="8"/>
      <name val="Times New Roman"/>
      <family val="1"/>
    </font>
    <font>
      <vertAlign val="superscript"/>
      <sz val="11"/>
      <color indexed="8"/>
      <name val="Calibri"/>
      <family val="2"/>
    </font>
    <font>
      <vertAlign val="superscript"/>
      <sz val="11"/>
      <color indexed="10"/>
      <name val="Calibri"/>
      <family val="2"/>
    </font>
    <font>
      <b/>
      <sz val="9"/>
      <color indexed="81"/>
      <name val="Tahoma"/>
      <family val="2"/>
    </font>
    <font>
      <vertAlign val="subscript"/>
      <sz val="11"/>
      <color indexed="8"/>
      <name val="Calibri"/>
      <family val="2"/>
    </font>
    <font>
      <b/>
      <vertAlign val="subscript"/>
      <sz val="11"/>
      <color indexed="8"/>
      <name val="Calibri"/>
      <family val="2"/>
    </font>
    <font>
      <b/>
      <vertAlign val="subscript"/>
      <sz val="18"/>
      <name val="Calibri"/>
      <family val="2"/>
    </font>
    <font>
      <sz val="14"/>
      <name val="Calibri"/>
      <family val="2"/>
    </font>
    <font>
      <vertAlign val="subscript"/>
      <sz val="14"/>
      <name val="Calibri"/>
      <family val="2"/>
    </font>
    <font>
      <sz val="10"/>
      <name val="Calibri"/>
      <family val="2"/>
    </font>
    <font>
      <sz val="8"/>
      <name val="Calibri"/>
      <family val="2"/>
    </font>
    <font>
      <sz val="10"/>
      <name val="Times New Roman"/>
      <family val="1"/>
    </font>
    <font>
      <b/>
      <sz val="18"/>
      <color indexed="8"/>
      <name val="Calibri"/>
      <family val="2"/>
    </font>
    <font>
      <b/>
      <sz val="18"/>
      <color indexed="10"/>
      <name val="Calibri"/>
      <family val="2"/>
    </font>
    <font>
      <sz val="9"/>
      <color indexed="81"/>
      <name val="Tahoma"/>
      <family val="2"/>
    </font>
    <font>
      <vertAlign val="superscript"/>
      <sz val="14"/>
      <color indexed="8"/>
      <name val="Calibri"/>
      <family val="2"/>
    </font>
    <font>
      <sz val="14"/>
      <color indexed="8"/>
      <name val="Calibri"/>
      <family val="2"/>
    </font>
    <font>
      <b/>
      <vertAlign val="superscript"/>
      <sz val="12"/>
      <color indexed="30"/>
      <name val="Calibri"/>
      <family val="2"/>
    </font>
    <font>
      <sz val="11"/>
      <color indexed="10"/>
      <name val="Calibri"/>
      <family val="2"/>
    </font>
    <font>
      <b/>
      <vertAlign val="superscript"/>
      <sz val="11"/>
      <color indexed="8"/>
      <name val="Calibri"/>
      <family val="2"/>
    </font>
    <font>
      <vertAlign val="subscript"/>
      <sz val="11"/>
      <color indexed="10"/>
      <name val="Calibri"/>
      <family val="2"/>
    </font>
    <font>
      <sz val="11"/>
      <color indexed="8"/>
      <name val="Arial"/>
      <family val="2"/>
    </font>
    <font>
      <i/>
      <sz val="5"/>
      <color indexed="8"/>
      <name val="Arial"/>
      <family val="2"/>
    </font>
    <font>
      <sz val="5"/>
      <color indexed="8"/>
      <name val="Arial"/>
      <family val="2"/>
    </font>
    <font>
      <vertAlign val="subscript"/>
      <sz val="11"/>
      <color indexed="60"/>
      <name val="Calibri"/>
      <family val="2"/>
    </font>
    <font>
      <sz val="11"/>
      <color indexed="60"/>
      <name val="Calibri"/>
      <family val="2"/>
    </font>
    <font>
      <b/>
      <sz val="11"/>
      <name val="Calibri"/>
      <family val="2"/>
    </font>
    <font>
      <b/>
      <sz val="11"/>
      <name val="Calibri"/>
      <family val="2"/>
      <charset val="238"/>
    </font>
    <font>
      <b/>
      <vertAlign val="superscript"/>
      <sz val="11"/>
      <name val="Calibri"/>
      <family val="2"/>
    </font>
    <font>
      <b/>
      <sz val="11"/>
      <name val="Symbol"/>
      <family val="1"/>
      <charset val="2"/>
    </font>
    <font>
      <sz val="11"/>
      <color theme="1"/>
      <name val="Calibri"/>
      <family val="2"/>
      <scheme val="minor"/>
    </font>
    <font>
      <b/>
      <sz val="11"/>
      <color theme="1"/>
      <name val="Calibri"/>
      <family val="2"/>
      <scheme val="minor"/>
    </font>
    <font>
      <sz val="11"/>
      <color rgb="FFFF0000"/>
      <name val="Calibri"/>
      <family val="2"/>
      <scheme val="minor"/>
    </font>
    <font>
      <b/>
      <sz val="14"/>
      <color rgb="FFFF0000"/>
      <name val="Calibri"/>
      <family val="2"/>
      <scheme val="minor"/>
    </font>
    <font>
      <b/>
      <sz val="12"/>
      <color rgb="FF0070C0"/>
      <name val="Calibri"/>
      <family val="2"/>
      <scheme val="minor"/>
    </font>
    <font>
      <b/>
      <sz val="14"/>
      <color theme="1"/>
      <name val="Calibri"/>
      <family val="2"/>
      <scheme val="minor"/>
    </font>
    <font>
      <sz val="11"/>
      <color rgb="FFFF0000"/>
      <name val="Calibri"/>
      <family val="2"/>
      <charset val="238"/>
      <scheme val="minor"/>
    </font>
    <font>
      <b/>
      <sz val="11"/>
      <name val="Calibri"/>
      <family val="2"/>
      <scheme val="minor"/>
    </font>
    <font>
      <b/>
      <sz val="11"/>
      <color rgb="FF000000"/>
      <name val="Calibri"/>
      <family val="2"/>
      <scheme val="minor"/>
    </font>
    <font>
      <b/>
      <u/>
      <sz val="11"/>
      <color theme="1"/>
      <name val="Calibri"/>
      <family val="2"/>
      <scheme val="minor"/>
    </font>
    <font>
      <sz val="11"/>
      <name val="Calibri"/>
      <family val="2"/>
      <charset val="238"/>
      <scheme val="minor"/>
    </font>
    <font>
      <b/>
      <sz val="11"/>
      <color rgb="FFFF0000"/>
      <name val="Calibri"/>
      <family val="2"/>
      <scheme val="minor"/>
    </font>
    <font>
      <sz val="11"/>
      <color rgb="FFFF0000"/>
      <name val="Symbol"/>
      <family val="1"/>
      <charset val="2"/>
    </font>
    <font>
      <b/>
      <sz val="16"/>
      <color theme="9" tint="-0.499984740745262"/>
      <name val="Calibri"/>
      <family val="2"/>
      <scheme val="minor"/>
    </font>
    <font>
      <sz val="16"/>
      <color theme="1"/>
      <name val="Calibri"/>
      <family val="2"/>
      <charset val="238"/>
      <scheme val="minor"/>
    </font>
    <font>
      <b/>
      <sz val="16"/>
      <color rgb="FF7030A0"/>
      <name val="Calibri"/>
      <family val="2"/>
      <scheme val="minor"/>
    </font>
    <font>
      <b/>
      <sz val="16"/>
      <color rgb="FFFF0000"/>
      <name val="Calibri"/>
      <family val="2"/>
      <scheme val="minor"/>
    </font>
    <font>
      <sz val="11"/>
      <color rgb="FFFF0000"/>
      <name val="Calibri"/>
      <family val="1"/>
      <charset val="2"/>
      <scheme val="minor"/>
    </font>
    <font>
      <sz val="11"/>
      <color rgb="FFFF0000"/>
      <name val="Calibri"/>
      <family val="2"/>
      <charset val="2"/>
      <scheme val="minor"/>
    </font>
    <font>
      <sz val="11"/>
      <color rgb="FF000000"/>
      <name val="Calibri"/>
      <family val="2"/>
      <scheme val="minor"/>
    </font>
    <font>
      <b/>
      <sz val="18"/>
      <color theme="1"/>
      <name val="Calibri"/>
      <family val="2"/>
      <scheme val="minor"/>
    </font>
    <font>
      <sz val="10"/>
      <color theme="1"/>
      <name val="Calibri"/>
      <family val="2"/>
      <charset val="238"/>
    </font>
    <font>
      <sz val="11"/>
      <color theme="1"/>
      <name val="Calibri"/>
      <family val="2"/>
      <charset val="238"/>
    </font>
    <font>
      <b/>
      <sz val="11"/>
      <color theme="1"/>
      <name val="Calibri"/>
      <family val="2"/>
      <charset val="238"/>
      <scheme val="minor"/>
    </font>
    <font>
      <b/>
      <sz val="11"/>
      <color rgb="FFFF0000"/>
      <name val="Calibri"/>
      <family val="2"/>
      <charset val="238"/>
      <scheme val="minor"/>
    </font>
    <font>
      <b/>
      <sz val="11"/>
      <name val="Calibri"/>
      <family val="2"/>
      <charset val="238"/>
      <scheme val="minor"/>
    </font>
    <font>
      <b/>
      <sz val="11"/>
      <color theme="1"/>
      <name val="Symbol"/>
      <family val="1"/>
      <charset val="2"/>
    </font>
    <font>
      <sz val="11"/>
      <color theme="1"/>
      <name val="Symbol"/>
      <family val="1"/>
      <charset val="2"/>
    </font>
    <font>
      <b/>
      <sz val="18"/>
      <name val="Calibri"/>
      <family val="2"/>
      <scheme val="minor"/>
    </font>
    <font>
      <sz val="14"/>
      <color rgb="FFFF0000"/>
      <name val="Calibri"/>
      <family val="2"/>
      <scheme val="minor"/>
    </font>
    <font>
      <b/>
      <sz val="18"/>
      <color rgb="FFFF0000"/>
      <name val="Calibri"/>
      <family val="2"/>
      <scheme val="minor"/>
    </font>
    <font>
      <sz val="14"/>
      <name val="Calibri"/>
      <family val="2"/>
      <scheme val="minor"/>
    </font>
    <font>
      <b/>
      <sz val="11"/>
      <color theme="1"/>
      <name val="Arial"/>
      <family val="2"/>
    </font>
    <font>
      <sz val="11"/>
      <color theme="1"/>
      <name val="Arial"/>
      <family val="2"/>
    </font>
    <font>
      <b/>
      <i/>
      <sz val="12.5"/>
      <color theme="1"/>
      <name val="Arial"/>
      <family val="2"/>
    </font>
    <font>
      <i/>
      <sz val="11"/>
      <color theme="1"/>
      <name val="Arial"/>
      <family val="2"/>
    </font>
    <font>
      <sz val="11"/>
      <color rgb="FF000000"/>
      <name val="Arial"/>
      <family val="2"/>
    </font>
    <font>
      <sz val="11"/>
      <color theme="3" tint="-0.499984740745262"/>
      <name val="Calibri"/>
      <family val="2"/>
      <charset val="238"/>
      <scheme val="minor"/>
    </font>
    <font>
      <b/>
      <sz val="11"/>
      <color rgb="FF540000"/>
      <name val="Calibri"/>
      <family val="2"/>
      <scheme val="minor"/>
    </font>
    <font>
      <b/>
      <u/>
      <sz val="14"/>
      <color rgb="FF002060"/>
      <name val="Calibri"/>
      <family val="2"/>
      <scheme val="minor"/>
    </font>
    <font>
      <b/>
      <sz val="14"/>
      <color rgb="FF002060"/>
      <name val="Calibri"/>
      <family val="2"/>
      <scheme val="minor"/>
    </font>
    <font>
      <b/>
      <u/>
      <sz val="18"/>
      <color rgb="FF002060"/>
      <name val="Calibri"/>
      <family val="2"/>
      <scheme val="minor"/>
    </font>
    <font>
      <b/>
      <u/>
      <sz val="14"/>
      <color rgb="FF7030A0"/>
      <name val="Calibri"/>
      <family val="2"/>
      <scheme val="minor"/>
    </font>
    <font>
      <b/>
      <sz val="14"/>
      <color rgb="FF7030A0"/>
      <name val="Calibri"/>
      <family val="2"/>
      <scheme val="minor"/>
    </font>
    <font>
      <b/>
      <u/>
      <sz val="14"/>
      <color rgb="FFC00000"/>
      <name val="Calibri"/>
      <family val="2"/>
      <scheme val="minor"/>
    </font>
    <font>
      <b/>
      <sz val="14"/>
      <color rgb="FFC00000"/>
      <name val="Calibri"/>
      <family val="2"/>
      <scheme val="minor"/>
    </font>
    <font>
      <sz val="14"/>
      <color rgb="FF7030A0"/>
      <name val="Calibri"/>
      <family val="2"/>
      <scheme val="minor"/>
    </font>
    <font>
      <b/>
      <u/>
      <sz val="14"/>
      <color rgb="FF009900"/>
      <name val="Calibri"/>
      <family val="2"/>
      <scheme val="minor"/>
    </font>
    <font>
      <sz val="11"/>
      <color rgb="FF009900"/>
      <name val="Calibri"/>
      <family val="2"/>
      <scheme val="minor"/>
    </font>
    <font>
      <sz val="11"/>
      <color theme="9" tint="0.79998168889431442"/>
      <name val="Calibri"/>
      <family val="2"/>
      <charset val="238"/>
      <scheme val="minor"/>
    </font>
    <font>
      <b/>
      <sz val="16"/>
      <color theme="1"/>
      <name val="Calibri"/>
      <family val="2"/>
      <scheme val="minor"/>
    </font>
    <font>
      <b/>
      <u/>
      <sz val="14"/>
      <color theme="8" tint="-0.249977111117893"/>
      <name val="Calibri"/>
      <family val="2"/>
      <scheme val="minor"/>
    </font>
    <font>
      <sz val="11"/>
      <color rgb="FF000000"/>
      <name val="Calibri"/>
      <family val="2"/>
    </font>
  </fonts>
  <fills count="26">
    <fill>
      <patternFill patternType="none"/>
    </fill>
    <fill>
      <patternFill patternType="gray125"/>
    </fill>
    <fill>
      <patternFill patternType="solid">
        <fgColor theme="2"/>
        <bgColor indexed="64"/>
      </patternFill>
    </fill>
    <fill>
      <patternFill patternType="solid">
        <fgColor rgb="FFD9F1FF"/>
        <bgColor indexed="64"/>
      </patternFill>
    </fill>
    <fill>
      <patternFill patternType="solid">
        <fgColor theme="9" tint="0.59999389629810485"/>
        <bgColor indexed="64"/>
      </patternFill>
    </fill>
    <fill>
      <patternFill patternType="solid">
        <fgColor rgb="FFDDF2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1F7ED"/>
        <bgColor indexed="64"/>
      </patternFill>
    </fill>
    <fill>
      <patternFill patternType="solid">
        <fgColor theme="4" tint="-0.499984740745262"/>
        <bgColor indexed="64"/>
      </patternFill>
    </fill>
    <fill>
      <patternFill patternType="solid">
        <fgColor rgb="FFDADADB"/>
        <bgColor indexed="64"/>
      </patternFill>
    </fill>
    <fill>
      <patternFill patternType="solid">
        <fgColor theme="0"/>
        <bgColor indexed="64"/>
      </patternFill>
    </fill>
    <fill>
      <patternFill patternType="solid">
        <fgColor rgb="FFCCFF99"/>
        <bgColor indexed="64"/>
      </patternFill>
    </fill>
    <fill>
      <patternFill patternType="solid">
        <fgColor rgb="FFFFF9E7"/>
        <bgColor indexed="64"/>
      </patternFill>
    </fill>
    <fill>
      <patternFill patternType="solid">
        <fgColor rgb="FFFEF2EC"/>
        <bgColor indexed="64"/>
      </patternFill>
    </fill>
    <fill>
      <patternFill patternType="solid">
        <fgColor rgb="FFE7FFFF"/>
        <bgColor indexed="64"/>
      </patternFill>
    </fill>
    <fill>
      <patternFill patternType="solid">
        <fgColor rgb="FFDCFFB9"/>
        <bgColor indexed="64"/>
      </patternFill>
    </fill>
  </fills>
  <borders count="98">
    <border>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tted">
        <color indexed="64"/>
      </bottom>
      <diagonal/>
    </border>
    <border>
      <left style="medium">
        <color rgb="FF000000"/>
      </left>
      <right/>
      <top style="medium">
        <color rgb="FFA0A0A0"/>
      </top>
      <bottom style="medium">
        <color rgb="FFA0A0A0"/>
      </bottom>
      <diagonal/>
    </border>
    <border>
      <left/>
      <right style="medium">
        <color rgb="FFA0A0A0"/>
      </right>
      <top style="medium">
        <color rgb="FFA0A0A0"/>
      </top>
      <bottom style="medium">
        <color rgb="FFA0A0A0"/>
      </bottom>
      <diagonal/>
    </border>
    <border>
      <left/>
      <right style="medium">
        <color rgb="FF000000"/>
      </right>
      <top style="medium">
        <color rgb="FFA0A0A0"/>
      </top>
      <bottom style="medium">
        <color rgb="FFA0A0A0"/>
      </bottom>
      <diagonal/>
    </border>
    <border>
      <left style="medium">
        <color rgb="FF000000"/>
      </left>
      <right style="medium">
        <color rgb="FFA0A0A0"/>
      </right>
      <top/>
      <bottom/>
      <diagonal/>
    </border>
    <border>
      <left/>
      <right style="medium">
        <color rgb="FFA0A0A0"/>
      </right>
      <top/>
      <bottom/>
      <diagonal/>
    </border>
    <border>
      <left/>
      <right style="medium">
        <color rgb="FF000000"/>
      </right>
      <top/>
      <bottom/>
      <diagonal/>
    </border>
    <border>
      <left style="medium">
        <color rgb="FF000000"/>
      </left>
      <right style="medium">
        <color rgb="FFA0A0A0"/>
      </right>
      <top/>
      <bottom style="medium">
        <color rgb="FFA0A0A0"/>
      </bottom>
      <diagonal/>
    </border>
    <border>
      <left/>
      <right style="medium">
        <color rgb="FFA0A0A0"/>
      </right>
      <top/>
      <bottom style="medium">
        <color rgb="FFA0A0A0"/>
      </bottom>
      <diagonal/>
    </border>
    <border>
      <left/>
      <right style="medium">
        <color rgb="FF000000"/>
      </right>
      <top/>
      <bottom style="medium">
        <color rgb="FFA0A0A0"/>
      </bottom>
      <diagonal/>
    </border>
    <border>
      <left style="medium">
        <color rgb="FF000000"/>
      </left>
      <right style="medium">
        <color rgb="FFA0A0A0"/>
      </right>
      <top style="medium">
        <color rgb="FFA0A0A0"/>
      </top>
      <bottom style="medium">
        <color rgb="FFA0A0A0"/>
      </bottom>
      <diagonal/>
    </border>
    <border>
      <left style="medium">
        <color rgb="FF000000"/>
      </left>
      <right style="medium">
        <color rgb="FFA0A0A0"/>
      </right>
      <top/>
      <bottom style="medium">
        <color rgb="FF000000"/>
      </bottom>
      <diagonal/>
    </border>
    <border>
      <left/>
      <right style="medium">
        <color rgb="FFA0A0A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625">
    <xf numFmtId="0" fontId="0" fillId="0" borderId="0" xfId="0"/>
    <xf numFmtId="3" fontId="38" fillId="2" borderId="1" xfId="0" applyNumberFormat="1" applyFont="1" applyFill="1" applyBorder="1" applyAlignment="1" applyProtection="1">
      <alignment horizontal="center"/>
      <protection hidden="1"/>
    </xf>
    <xf numFmtId="3" fontId="39" fillId="0" borderId="2" xfId="0" applyNumberFormat="1" applyFont="1" applyBorder="1" applyAlignment="1" applyProtection="1">
      <alignment horizontal="center"/>
      <protection hidden="1"/>
    </xf>
    <xf numFmtId="165" fontId="39" fillId="0" borderId="2" xfId="0" applyNumberFormat="1" applyFont="1" applyBorder="1" applyAlignment="1" applyProtection="1">
      <alignment horizontal="center"/>
      <protection hidden="1"/>
    </xf>
    <xf numFmtId="0" fontId="39" fillId="0" borderId="3" xfId="0" applyFont="1" applyBorder="1" applyAlignment="1" applyProtection="1">
      <alignment horizontal="center"/>
      <protection hidden="1"/>
    </xf>
    <xf numFmtId="3" fontId="39" fillId="0" borderId="2" xfId="0" applyNumberFormat="1" applyFont="1" applyBorder="1" applyProtection="1">
      <protection hidden="1"/>
    </xf>
    <xf numFmtId="0" fontId="0" fillId="0" borderId="0" xfId="0" applyAlignment="1">
      <alignment horizontal="right"/>
    </xf>
    <xf numFmtId="1" fontId="0" fillId="0" borderId="0" xfId="0" applyNumberFormat="1" applyAlignment="1">
      <alignment horizontal="center"/>
    </xf>
    <xf numFmtId="3" fontId="0" fillId="0" borderId="0" xfId="0" applyNumberFormat="1"/>
    <xf numFmtId="0" fontId="0" fillId="0" borderId="0" xfId="0" applyProtection="1">
      <protection hidden="1"/>
    </xf>
    <xf numFmtId="0" fontId="40" fillId="0" borderId="0" xfId="0" applyFont="1" applyProtection="1">
      <protection hidden="1"/>
    </xf>
    <xf numFmtId="0" fontId="41" fillId="0" borderId="0" xfId="0" applyFont="1" applyAlignment="1" applyProtection="1">
      <alignment vertical="top" wrapText="1"/>
      <protection hidden="1"/>
    </xf>
    <xf numFmtId="0" fontId="0" fillId="0" borderId="0" xfId="0" applyAlignment="1" applyProtection="1">
      <alignment horizontal="right"/>
      <protection hidden="1"/>
    </xf>
    <xf numFmtId="1" fontId="0" fillId="3" borderId="4" xfId="0" applyNumberFormat="1" applyFill="1" applyBorder="1" applyProtection="1">
      <protection hidden="1"/>
    </xf>
    <xf numFmtId="0" fontId="41" fillId="4" borderId="0" xfId="0" applyFont="1" applyFill="1" applyAlignment="1" applyProtection="1">
      <alignment horizontal="right"/>
      <protection hidden="1"/>
    </xf>
    <xf numFmtId="49" fontId="0" fillId="5" borderId="5" xfId="0" applyNumberFormat="1" applyFill="1" applyBorder="1" applyProtection="1">
      <protection hidden="1"/>
    </xf>
    <xf numFmtId="0" fontId="0" fillId="0" borderId="4" xfId="0" applyBorder="1" applyProtection="1">
      <protection hidden="1"/>
    </xf>
    <xf numFmtId="0" fontId="0" fillId="0" borderId="6" xfId="0" applyBorder="1" applyProtection="1">
      <protection hidden="1"/>
    </xf>
    <xf numFmtId="2" fontId="0" fillId="3" borderId="4" xfId="0" applyNumberFormat="1" applyFill="1" applyBorder="1" applyProtection="1">
      <protection hidden="1"/>
    </xf>
    <xf numFmtId="0" fontId="0" fillId="0" borderId="5" xfId="0" applyBorder="1" applyProtection="1">
      <protection hidden="1"/>
    </xf>
    <xf numFmtId="0" fontId="0" fillId="5" borderId="5" xfId="0" applyFill="1" applyBorder="1" applyProtection="1">
      <protection hidden="1"/>
    </xf>
    <xf numFmtId="0" fontId="36" fillId="0" borderId="0" xfId="0" applyFont="1" applyProtection="1">
      <protection hidden="1"/>
    </xf>
    <xf numFmtId="0" fontId="0" fillId="6" borderId="0" xfId="0" applyFill="1" applyProtection="1">
      <protection hidden="1"/>
    </xf>
    <xf numFmtId="169" fontId="0" fillId="0" borderId="0" xfId="0" applyNumberFormat="1" applyProtection="1">
      <protection hidden="1"/>
    </xf>
    <xf numFmtId="2" fontId="0" fillId="0" borderId="0" xfId="0" applyNumberFormat="1" applyProtection="1">
      <protection hidden="1"/>
    </xf>
    <xf numFmtId="0" fontId="42" fillId="0" borderId="0" xfId="0" applyFont="1" applyAlignment="1" applyProtection="1">
      <alignment horizontal="right"/>
      <protection hidden="1"/>
    </xf>
    <xf numFmtId="1" fontId="0" fillId="6" borderId="5" xfId="0" applyNumberFormat="1" applyFill="1" applyBorder="1" applyProtection="1">
      <protection hidden="1"/>
    </xf>
    <xf numFmtId="0" fontId="0" fillId="0" borderId="7" xfId="0" applyBorder="1" applyProtection="1">
      <protection hidden="1"/>
    </xf>
    <xf numFmtId="164" fontId="0" fillId="6" borderId="4" xfId="0" applyNumberFormat="1" applyFill="1" applyBorder="1" applyProtection="1">
      <protection hidden="1"/>
    </xf>
    <xf numFmtId="2" fontId="0" fillId="6" borderId="4" xfId="0" applyNumberFormat="1" applyFill="1" applyBorder="1" applyProtection="1">
      <protection hidden="1"/>
    </xf>
    <xf numFmtId="0" fontId="43" fillId="0" borderId="0" xfId="0" applyFont="1" applyProtection="1">
      <protection hidden="1"/>
    </xf>
    <xf numFmtId="0" fontId="36" fillId="5" borderId="8" xfId="0" applyFont="1" applyFill="1" applyBorder="1" applyAlignment="1" applyProtection="1">
      <alignment horizontal="center"/>
      <protection hidden="1"/>
    </xf>
    <xf numFmtId="0" fontId="36" fillId="7" borderId="8" xfId="0" applyFont="1" applyFill="1" applyBorder="1" applyAlignment="1" applyProtection="1">
      <alignment horizontal="center"/>
      <protection hidden="1"/>
    </xf>
    <xf numFmtId="0" fontId="36" fillId="5" borderId="9" xfId="0" applyFont="1" applyFill="1" applyBorder="1" applyAlignment="1" applyProtection="1">
      <alignment horizontal="center"/>
      <protection hidden="1"/>
    </xf>
    <xf numFmtId="0" fontId="36" fillId="7" borderId="9" xfId="0" applyFont="1" applyFill="1" applyBorder="1" applyAlignment="1" applyProtection="1">
      <alignment horizontal="center"/>
      <protection hidden="1"/>
    </xf>
    <xf numFmtId="3" fontId="0" fillId="5" borderId="10" xfId="0" applyNumberFormat="1" applyFill="1" applyBorder="1" applyAlignment="1" applyProtection="1">
      <alignment horizontal="center"/>
      <protection hidden="1"/>
    </xf>
    <xf numFmtId="3" fontId="0" fillId="5" borderId="11" xfId="0" applyNumberFormat="1" applyFill="1" applyBorder="1" applyAlignment="1" applyProtection="1">
      <alignment horizontal="center"/>
      <protection hidden="1"/>
    </xf>
    <xf numFmtId="3" fontId="0" fillId="5" borderId="12" xfId="0" applyNumberFormat="1" applyFill="1" applyBorder="1" applyAlignment="1" applyProtection="1">
      <alignment horizontal="center"/>
      <protection hidden="1"/>
    </xf>
    <xf numFmtId="167" fontId="0" fillId="7" borderId="10" xfId="0" applyNumberFormat="1" applyFill="1" applyBorder="1" applyAlignment="1" applyProtection="1">
      <alignment horizontal="center"/>
      <protection hidden="1"/>
    </xf>
    <xf numFmtId="3" fontId="0" fillId="7" borderId="10" xfId="0" applyNumberFormat="1" applyFill="1" applyBorder="1" applyAlignment="1" applyProtection="1">
      <alignment horizontal="center"/>
      <protection hidden="1"/>
    </xf>
    <xf numFmtId="3" fontId="0" fillId="5" borderId="13" xfId="0" applyNumberFormat="1" applyFill="1" applyBorder="1" applyAlignment="1" applyProtection="1">
      <alignment horizontal="center"/>
      <protection hidden="1"/>
    </xf>
    <xf numFmtId="3" fontId="0" fillId="5" borderId="14" xfId="0" applyNumberFormat="1" applyFill="1" applyBorder="1" applyAlignment="1" applyProtection="1">
      <alignment horizontal="center"/>
      <protection hidden="1"/>
    </xf>
    <xf numFmtId="3" fontId="0" fillId="5" borderId="15" xfId="0" applyNumberFormat="1" applyFill="1" applyBorder="1" applyAlignment="1" applyProtection="1">
      <alignment horizontal="center"/>
      <protection hidden="1"/>
    </xf>
    <xf numFmtId="167" fontId="0" fillId="7" borderId="13" xfId="0" applyNumberFormat="1" applyFill="1" applyBorder="1" applyAlignment="1" applyProtection="1">
      <alignment horizontal="center"/>
      <protection hidden="1"/>
    </xf>
    <xf numFmtId="3" fontId="0" fillId="7" borderId="13" xfId="0" applyNumberFormat="1" applyFill="1" applyBorder="1" applyAlignment="1" applyProtection="1">
      <alignment horizontal="center"/>
      <protection hidden="1"/>
    </xf>
    <xf numFmtId="166" fontId="0" fillId="7" borderId="13" xfId="0" applyNumberFormat="1" applyFill="1" applyBorder="1" applyAlignment="1" applyProtection="1">
      <alignment horizontal="center"/>
      <protection hidden="1"/>
    </xf>
    <xf numFmtId="165" fontId="0" fillId="5" borderId="13" xfId="0" applyNumberFormat="1" applyFill="1" applyBorder="1" applyAlignment="1" applyProtection="1">
      <alignment horizontal="center"/>
      <protection hidden="1"/>
    </xf>
    <xf numFmtId="3" fontId="0" fillId="5" borderId="2" xfId="0" applyNumberFormat="1" applyFill="1" applyBorder="1" applyAlignment="1" applyProtection="1">
      <alignment horizontal="center"/>
      <protection hidden="1"/>
    </xf>
    <xf numFmtId="3" fontId="0" fillId="5" borderId="16" xfId="0" applyNumberFormat="1" applyFill="1" applyBorder="1" applyAlignment="1" applyProtection="1">
      <alignment horizontal="center"/>
      <protection hidden="1"/>
    </xf>
    <xf numFmtId="3" fontId="0" fillId="5" borderId="17" xfId="0" applyNumberFormat="1" applyFill="1" applyBorder="1" applyAlignment="1" applyProtection="1">
      <alignment horizontal="center"/>
      <protection hidden="1"/>
    </xf>
    <xf numFmtId="3" fontId="0" fillId="7" borderId="2" xfId="0" applyNumberFormat="1" applyFill="1" applyBorder="1" applyAlignment="1" applyProtection="1">
      <alignment horizontal="center"/>
      <protection hidden="1"/>
    </xf>
    <xf numFmtId="4" fontId="0" fillId="5" borderId="2" xfId="0" applyNumberFormat="1" applyFill="1" applyBorder="1" applyAlignment="1" applyProtection="1">
      <alignment horizontal="center"/>
      <protection hidden="1"/>
    </xf>
    <xf numFmtId="49" fontId="0" fillId="3" borderId="4" xfId="0" applyNumberFormat="1" applyFill="1" applyBorder="1" applyProtection="1">
      <protection hidden="1"/>
    </xf>
    <xf numFmtId="0" fontId="0" fillId="4" borderId="0" xfId="0" applyFill="1" applyProtection="1">
      <protection hidden="1"/>
    </xf>
    <xf numFmtId="0" fontId="41" fillId="4" borderId="0" xfId="0" applyFont="1" applyFill="1" applyProtection="1">
      <protection hidden="1"/>
    </xf>
    <xf numFmtId="0" fontId="36" fillId="0" borderId="0" xfId="0" applyFont="1" applyAlignment="1" applyProtection="1">
      <alignment horizontal="center"/>
      <protection hidden="1"/>
    </xf>
    <xf numFmtId="0" fontId="44" fillId="0" borderId="0" xfId="0" applyFont="1" applyProtection="1">
      <protection hidden="1"/>
    </xf>
    <xf numFmtId="0" fontId="41" fillId="0" borderId="0" xfId="0" applyFont="1" applyProtection="1">
      <protection hidden="1"/>
    </xf>
    <xf numFmtId="9" fontId="0" fillId="0" borderId="0" xfId="0" applyNumberFormat="1" applyProtection="1">
      <protection hidden="1"/>
    </xf>
    <xf numFmtId="0" fontId="36" fillId="6" borderId="0" xfId="0" applyFont="1" applyFill="1" applyProtection="1">
      <protection hidden="1"/>
    </xf>
    <xf numFmtId="0" fontId="0" fillId="6" borderId="0" xfId="0" applyFill="1" applyAlignment="1" applyProtection="1">
      <alignment horizontal="right"/>
      <protection hidden="1"/>
    </xf>
    <xf numFmtId="0" fontId="42" fillId="0" borderId="0" xfId="0" applyFont="1" applyProtection="1">
      <protection hidden="1"/>
    </xf>
    <xf numFmtId="0" fontId="45" fillId="0" borderId="0" xfId="0" applyFont="1" applyProtection="1">
      <protection hidden="1"/>
    </xf>
    <xf numFmtId="3" fontId="41" fillId="6" borderId="4" xfId="0" applyNumberFormat="1" applyFont="1" applyFill="1" applyBorder="1" applyProtection="1">
      <protection hidden="1"/>
    </xf>
    <xf numFmtId="0" fontId="0" fillId="4" borderId="18" xfId="0" applyFill="1" applyBorder="1" applyProtection="1">
      <protection hidden="1"/>
    </xf>
    <xf numFmtId="0" fontId="36" fillId="4" borderId="19" xfId="0" applyFont="1"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6" fillId="4" borderId="0" xfId="0" applyFont="1" applyFill="1" applyProtection="1">
      <protection hidden="1"/>
    </xf>
    <xf numFmtId="0" fontId="41" fillId="4" borderId="21" xfId="0" applyFont="1" applyFill="1" applyBorder="1" applyAlignment="1" applyProtection="1">
      <alignment horizontal="right"/>
      <protection hidden="1"/>
    </xf>
    <xf numFmtId="2" fontId="41" fillId="6" borderId="10" xfId="0" applyNumberFormat="1" applyFont="1" applyFill="1" applyBorder="1" applyProtection="1">
      <protection hidden="1"/>
    </xf>
    <xf numFmtId="0" fontId="0" fillId="4" borderId="22" xfId="0" applyFill="1" applyBorder="1" applyProtection="1">
      <protection hidden="1"/>
    </xf>
    <xf numFmtId="49" fontId="41" fillId="3" borderId="4" xfId="0" applyNumberFormat="1" applyFont="1" applyFill="1" applyBorder="1" applyProtection="1">
      <protection hidden="1"/>
    </xf>
    <xf numFmtId="2" fontId="41" fillId="6" borderId="6" xfId="0" applyNumberFormat="1" applyFont="1" applyFill="1" applyBorder="1" applyProtection="1">
      <protection hidden="1"/>
    </xf>
    <xf numFmtId="49" fontId="41" fillId="3" borderId="5" xfId="0" applyNumberFormat="1" applyFont="1" applyFill="1" applyBorder="1" applyProtection="1">
      <protection hidden="1"/>
    </xf>
    <xf numFmtId="0" fontId="37" fillId="4" borderId="21" xfId="0" applyFont="1" applyFill="1" applyBorder="1" applyAlignment="1" applyProtection="1">
      <alignment horizontal="right"/>
      <protection hidden="1"/>
    </xf>
    <xf numFmtId="2" fontId="41" fillId="3" borderId="4" xfId="0" applyNumberFormat="1" applyFont="1" applyFill="1" applyBorder="1" applyProtection="1">
      <protection hidden="1"/>
    </xf>
    <xf numFmtId="2" fontId="41" fillId="6" borderId="4" xfId="0" applyNumberFormat="1" applyFont="1" applyFill="1" applyBorder="1" applyProtection="1">
      <protection hidden="1"/>
    </xf>
    <xf numFmtId="0" fontId="47" fillId="4" borderId="21" xfId="0" applyFont="1" applyFill="1" applyBorder="1" applyAlignment="1" applyProtection="1">
      <alignment horizontal="right"/>
      <protection hidden="1"/>
    </xf>
    <xf numFmtId="2" fontId="41" fillId="6" borderId="0" xfId="0" applyNumberFormat="1" applyFont="1" applyFill="1" applyProtection="1">
      <protection hidden="1"/>
    </xf>
    <xf numFmtId="0" fontId="37" fillId="4" borderId="0" xfId="0" applyFont="1" applyFill="1" applyProtection="1">
      <protection hidden="1"/>
    </xf>
    <xf numFmtId="0" fontId="0" fillId="8" borderId="23" xfId="0" applyFill="1" applyBorder="1" applyProtection="1">
      <protection hidden="1"/>
    </xf>
    <xf numFmtId="3" fontId="48" fillId="8" borderId="24" xfId="0" applyNumberFormat="1" applyFont="1" applyFill="1" applyBorder="1" applyProtection="1">
      <protection hidden="1"/>
    </xf>
    <xf numFmtId="0" fontId="49" fillId="9" borderId="24" xfId="0" applyFont="1" applyFill="1" applyBorder="1" applyProtection="1">
      <protection hidden="1"/>
    </xf>
    <xf numFmtId="0" fontId="35" fillId="9" borderId="24" xfId="0" applyFont="1" applyFill="1" applyBorder="1" applyAlignment="1" applyProtection="1">
      <alignment horizontal="right"/>
      <protection hidden="1"/>
    </xf>
    <xf numFmtId="3" fontId="50" fillId="9" borderId="24" xfId="0" applyNumberFormat="1" applyFont="1" applyFill="1" applyBorder="1" applyProtection="1">
      <protection hidden="1"/>
    </xf>
    <xf numFmtId="0" fontId="49" fillId="10" borderId="24" xfId="0" applyFont="1" applyFill="1" applyBorder="1" applyProtection="1">
      <protection hidden="1"/>
    </xf>
    <xf numFmtId="0" fontId="0" fillId="10" borderId="24" xfId="0" applyFill="1" applyBorder="1" applyAlignment="1" applyProtection="1">
      <alignment horizontal="right"/>
      <protection hidden="1"/>
    </xf>
    <xf numFmtId="164" fontId="51" fillId="10" borderId="25" xfId="0" applyNumberFormat="1" applyFont="1" applyFill="1" applyBorder="1" applyProtection="1">
      <protection hidden="1"/>
    </xf>
    <xf numFmtId="0" fontId="49" fillId="0" borderId="0" xfId="0" applyFont="1" applyProtection="1">
      <protection hidden="1"/>
    </xf>
    <xf numFmtId="0" fontId="36" fillId="0" borderId="0" xfId="0" applyFont="1" applyAlignment="1" applyProtection="1">
      <alignment horizontal="right"/>
      <protection hidden="1"/>
    </xf>
    <xf numFmtId="0" fontId="0" fillId="0" borderId="26" xfId="0" applyBorder="1" applyAlignment="1" applyProtection="1">
      <alignment horizontal="center"/>
      <protection hidden="1"/>
    </xf>
    <xf numFmtId="0" fontId="41" fillId="11" borderId="0" xfId="0" applyFont="1" applyFill="1" applyAlignment="1" applyProtection="1">
      <alignment horizontal="right"/>
      <protection hidden="1"/>
    </xf>
    <xf numFmtId="0" fontId="0" fillId="0" borderId="26" xfId="0" applyBorder="1" applyAlignment="1" applyProtection="1">
      <alignment horizontal="left" vertical="center" wrapText="1"/>
      <protection hidden="1"/>
    </xf>
    <xf numFmtId="0" fontId="52" fillId="11" borderId="0" xfId="0" applyFont="1" applyFill="1" applyAlignment="1" applyProtection="1">
      <alignment horizontal="right" wrapText="1"/>
      <protection hidden="1"/>
    </xf>
    <xf numFmtId="0" fontId="35" fillId="0" borderId="0" xfId="0" applyFont="1" applyAlignment="1" applyProtection="1">
      <alignment horizontal="right"/>
      <protection hidden="1"/>
    </xf>
    <xf numFmtId="2" fontId="0" fillId="3" borderId="26" xfId="0" applyNumberFormat="1" applyFill="1" applyBorder="1" applyAlignment="1" applyProtection="1">
      <alignment horizontal="left"/>
      <protection hidden="1"/>
    </xf>
    <xf numFmtId="0" fontId="45" fillId="0" borderId="0" xfId="0" applyFont="1" applyAlignment="1" applyProtection="1">
      <alignment horizontal="right"/>
      <protection hidden="1"/>
    </xf>
    <xf numFmtId="2" fontId="0" fillId="6" borderId="26" xfId="0" applyNumberFormat="1" applyFill="1" applyBorder="1" applyProtection="1">
      <protection hidden="1"/>
    </xf>
    <xf numFmtId="0" fontId="0" fillId="0" borderId="0" xfId="0" applyAlignment="1" applyProtection="1">
      <alignment horizontal="center" wrapText="1"/>
      <protection hidden="1"/>
    </xf>
    <xf numFmtId="0" fontId="41" fillId="0" borderId="0" xfId="0" applyFont="1" applyAlignment="1" applyProtection="1">
      <alignment horizontal="center" wrapText="1"/>
      <protection hidden="1"/>
    </xf>
    <xf numFmtId="3" fontId="41" fillId="6" borderId="26" xfId="0" applyNumberFormat="1" applyFont="1" applyFill="1" applyBorder="1" applyProtection="1">
      <protection hidden="1"/>
    </xf>
    <xf numFmtId="0" fontId="53" fillId="4" borderId="0" xfId="0" applyFont="1" applyFill="1" applyAlignment="1" applyProtection="1">
      <alignment horizontal="right"/>
      <protection hidden="1"/>
    </xf>
    <xf numFmtId="0" fontId="0" fillId="3" borderId="26" xfId="0" applyFill="1" applyBorder="1" applyProtection="1">
      <protection hidden="1"/>
    </xf>
    <xf numFmtId="0" fontId="0" fillId="0" borderId="21"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8" xfId="0" applyBorder="1" applyAlignment="1" applyProtection="1">
      <alignment horizontal="center"/>
      <protection hidden="1"/>
    </xf>
    <xf numFmtId="3" fontId="0" fillId="3" borderId="4" xfId="0" applyNumberFormat="1" applyFill="1" applyBorder="1" applyProtection="1">
      <protection hidden="1"/>
    </xf>
    <xf numFmtId="0" fontId="41" fillId="4" borderId="4" xfId="0" applyFont="1" applyFill="1" applyBorder="1" applyProtection="1">
      <protection hidden="1"/>
    </xf>
    <xf numFmtId="0" fontId="41" fillId="4" borderId="5" xfId="0" applyFont="1" applyFill="1" applyBorder="1" applyProtection="1">
      <protection hidden="1"/>
    </xf>
    <xf numFmtId="4" fontId="0" fillId="6" borderId="4" xfId="0" applyNumberFormat="1" applyFill="1" applyBorder="1" applyProtection="1">
      <protection hidden="1"/>
    </xf>
    <xf numFmtId="0" fontId="0" fillId="0" borderId="26" xfId="0" applyBorder="1" applyProtection="1">
      <protection hidden="1"/>
    </xf>
    <xf numFmtId="9" fontId="0" fillId="6" borderId="4" xfId="0" applyNumberFormat="1" applyFill="1" applyBorder="1" applyProtection="1">
      <protection hidden="1"/>
    </xf>
    <xf numFmtId="49" fontId="0" fillId="6" borderId="4" xfId="0" applyNumberFormat="1" applyFill="1" applyBorder="1" applyProtection="1">
      <protection hidden="1"/>
    </xf>
    <xf numFmtId="0" fontId="0" fillId="3" borderId="0" xfId="0" applyFill="1" applyProtection="1">
      <protection hidden="1"/>
    </xf>
    <xf numFmtId="0" fontId="35" fillId="0" borderId="0" xfId="0" applyFont="1" applyProtection="1">
      <protection hidden="1"/>
    </xf>
    <xf numFmtId="0" fontId="0" fillId="0" borderId="0" xfId="0" applyAlignment="1" applyProtection="1">
      <alignment horizontal="left"/>
      <protection hidden="1"/>
    </xf>
    <xf numFmtId="4" fontId="0" fillId="6" borderId="5" xfId="0" applyNumberFormat="1" applyFill="1" applyBorder="1" applyProtection="1">
      <protection hidden="1"/>
    </xf>
    <xf numFmtId="2" fontId="0" fillId="6" borderId="5" xfId="0" applyNumberFormat="1" applyFill="1" applyBorder="1" applyProtection="1">
      <protection hidden="1"/>
    </xf>
    <xf numFmtId="0" fontId="36" fillId="4" borderId="0" xfId="0" applyFont="1" applyFill="1" applyAlignment="1" applyProtection="1">
      <alignment horizontal="center"/>
      <protection hidden="1"/>
    </xf>
    <xf numFmtId="3" fontId="0" fillId="6" borderId="4" xfId="0" applyNumberFormat="1" applyFill="1" applyBorder="1" applyProtection="1">
      <protection hidden="1"/>
    </xf>
    <xf numFmtId="0" fontId="54" fillId="0" borderId="0" xfId="0" applyFont="1" applyAlignment="1" applyProtection="1">
      <alignment vertical="center"/>
      <protection hidden="1"/>
    </xf>
    <xf numFmtId="0" fontId="54" fillId="0" borderId="0" xfId="0" applyFont="1" applyProtection="1">
      <protection hidden="1"/>
    </xf>
    <xf numFmtId="0" fontId="55" fillId="0" borderId="0" xfId="0" applyFont="1" applyProtection="1">
      <protection hidden="1"/>
    </xf>
    <xf numFmtId="0" fontId="0" fillId="12" borderId="26" xfId="0" applyFill="1" applyBorder="1" applyProtection="1">
      <protection hidden="1"/>
    </xf>
    <xf numFmtId="0" fontId="0" fillId="12" borderId="26" xfId="0" applyFill="1" applyBorder="1" applyAlignment="1" applyProtection="1">
      <alignment wrapText="1"/>
      <protection hidden="1"/>
    </xf>
    <xf numFmtId="0" fontId="0" fillId="7" borderId="26" xfId="0" applyFill="1" applyBorder="1" applyProtection="1">
      <protection hidden="1"/>
    </xf>
    <xf numFmtId="0" fontId="56" fillId="13" borderId="26" xfId="0" applyFont="1" applyFill="1" applyBorder="1" applyAlignment="1" applyProtection="1">
      <alignment horizontal="center"/>
      <protection hidden="1"/>
    </xf>
    <xf numFmtId="0" fontId="36" fillId="13" borderId="26" xfId="0" applyFont="1" applyFill="1" applyBorder="1" applyAlignment="1" applyProtection="1">
      <alignment horizontal="center" vertical="center"/>
      <protection hidden="1"/>
    </xf>
    <xf numFmtId="0" fontId="36" fillId="13" borderId="26" xfId="0" applyFont="1" applyFill="1" applyBorder="1" applyAlignment="1" applyProtection="1">
      <alignment horizontal="center" vertical="center" wrapText="1"/>
      <protection hidden="1"/>
    </xf>
    <xf numFmtId="0" fontId="42" fillId="13" borderId="26" xfId="0" applyFont="1" applyFill="1" applyBorder="1" applyAlignment="1" applyProtection="1">
      <alignment horizontal="center" vertical="center" wrapText="1"/>
      <protection hidden="1"/>
    </xf>
    <xf numFmtId="164" fontId="46" fillId="13" borderId="26" xfId="0" applyNumberFormat="1" applyFont="1" applyFill="1" applyBorder="1" applyAlignment="1" applyProtection="1">
      <alignment horizontal="center" vertical="center" wrapText="1"/>
      <protection hidden="1"/>
    </xf>
    <xf numFmtId="0" fontId="57" fillId="0" borderId="26" xfId="0" applyFont="1" applyBorder="1" applyAlignment="1" applyProtection="1">
      <alignment horizontal="center"/>
      <protection hidden="1"/>
    </xf>
    <xf numFmtId="0" fontId="58" fillId="0" borderId="26" xfId="0" applyFont="1" applyBorder="1" applyAlignment="1" applyProtection="1">
      <alignment horizontal="left"/>
      <protection hidden="1"/>
    </xf>
    <xf numFmtId="164" fontId="59" fillId="6" borderId="26" xfId="0" applyNumberFormat="1" applyFont="1" applyFill="1" applyBorder="1" applyAlignment="1" applyProtection="1">
      <alignment horizontal="center"/>
      <protection hidden="1"/>
    </xf>
    <xf numFmtId="0" fontId="58" fillId="6" borderId="26" xfId="0" applyFont="1" applyFill="1" applyBorder="1" applyAlignment="1" applyProtection="1">
      <alignment horizontal="left"/>
      <protection hidden="1"/>
    </xf>
    <xf numFmtId="0" fontId="60" fillId="0" borderId="26" xfId="0" applyFont="1" applyBorder="1" applyProtection="1">
      <protection hidden="1"/>
    </xf>
    <xf numFmtId="0" fontId="45" fillId="0" borderId="26" xfId="0" applyFont="1" applyBorder="1" applyAlignment="1" applyProtection="1">
      <alignment horizontal="center"/>
      <protection hidden="1"/>
    </xf>
    <xf numFmtId="0" fontId="60" fillId="6" borderId="26" xfId="0" applyFont="1" applyFill="1" applyBorder="1" applyProtection="1">
      <protection hidden="1"/>
    </xf>
    <xf numFmtId="0" fontId="45" fillId="0" borderId="26" xfId="0" applyFont="1" applyBorder="1" applyProtection="1">
      <protection hidden="1"/>
    </xf>
    <xf numFmtId="164" fontId="59" fillId="0" borderId="26" xfId="0" applyNumberFormat="1" applyFont="1" applyBorder="1" applyAlignment="1" applyProtection="1">
      <alignment horizontal="center"/>
      <protection hidden="1"/>
    </xf>
    <xf numFmtId="0" fontId="0" fillId="0" borderId="0" xfId="0" applyAlignment="1" applyProtection="1">
      <alignment wrapText="1"/>
      <protection hidden="1"/>
    </xf>
    <xf numFmtId="0" fontId="0" fillId="7" borderId="0" xfId="0" applyFill="1" applyProtection="1">
      <protection hidden="1"/>
    </xf>
    <xf numFmtId="0" fontId="0" fillId="14" borderId="0" xfId="0" applyFill="1" applyProtection="1">
      <protection hidden="1"/>
    </xf>
    <xf numFmtId="0" fontId="0" fillId="0" borderId="7" xfId="0" applyBorder="1" applyAlignment="1" applyProtection="1">
      <alignment horizontal="right"/>
      <protection hidden="1"/>
    </xf>
    <xf numFmtId="0" fontId="36" fillId="7" borderId="7" xfId="0" applyFont="1" applyFill="1" applyBorder="1" applyAlignment="1" applyProtection="1">
      <alignment horizontal="left"/>
      <protection hidden="1"/>
    </xf>
    <xf numFmtId="0" fontId="36" fillId="7" borderId="7" xfId="0" applyFont="1" applyFill="1" applyBorder="1" applyAlignment="1" applyProtection="1">
      <alignment horizontal="center"/>
      <protection hidden="1"/>
    </xf>
    <xf numFmtId="1" fontId="36" fillId="7" borderId="7" xfId="0" applyNumberFormat="1" applyFont="1" applyFill="1" applyBorder="1" applyAlignment="1" applyProtection="1">
      <alignment horizontal="center"/>
      <protection hidden="1"/>
    </xf>
    <xf numFmtId="0" fontId="36" fillId="12" borderId="7" xfId="0" applyFont="1" applyFill="1" applyBorder="1" applyAlignment="1" applyProtection="1">
      <alignment horizontal="center"/>
      <protection hidden="1"/>
    </xf>
    <xf numFmtId="3" fontId="36" fillId="7" borderId="7" xfId="0" applyNumberFormat="1" applyFont="1" applyFill="1" applyBorder="1" applyAlignment="1" applyProtection="1">
      <alignment horizontal="center"/>
      <protection hidden="1"/>
    </xf>
    <xf numFmtId="0" fontId="0" fillId="0" borderId="18" xfId="0" applyBorder="1" applyProtection="1">
      <protection hidden="1"/>
    </xf>
    <xf numFmtId="0" fontId="0" fillId="0" borderId="19" xfId="0" applyBorder="1" applyProtection="1">
      <protection hidden="1"/>
    </xf>
    <xf numFmtId="1" fontId="36" fillId="0" borderId="0" xfId="0" applyNumberFormat="1" applyFont="1" applyAlignment="1" applyProtection="1">
      <alignment horizontal="left"/>
      <protection hidden="1"/>
    </xf>
    <xf numFmtId="0" fontId="0" fillId="0" borderId="21" xfId="0" applyBorder="1" applyProtection="1">
      <protection hidden="1"/>
    </xf>
    <xf numFmtId="0" fontId="36" fillId="0" borderId="26" xfId="0" applyFont="1" applyBorder="1" applyProtection="1">
      <protection hidden="1"/>
    </xf>
    <xf numFmtId="0" fontId="0" fillId="12" borderId="26" xfId="0" applyFill="1" applyBorder="1" applyAlignment="1" applyProtection="1">
      <alignment horizontal="center"/>
      <protection hidden="1"/>
    </xf>
    <xf numFmtId="0" fontId="0" fillId="7" borderId="26" xfId="0" applyFill="1" applyBorder="1" applyAlignment="1" applyProtection="1">
      <alignment horizontal="center"/>
      <protection hidden="1"/>
    </xf>
    <xf numFmtId="0" fontId="36" fillId="12" borderId="10" xfId="0" applyFont="1" applyFill="1" applyBorder="1" applyProtection="1">
      <protection hidden="1"/>
    </xf>
    <xf numFmtId="3" fontId="0" fillId="7" borderId="26" xfId="0" applyNumberFormat="1" applyFill="1" applyBorder="1" applyAlignment="1" applyProtection="1">
      <alignment horizontal="center"/>
      <protection hidden="1"/>
    </xf>
    <xf numFmtId="0" fontId="36" fillId="12" borderId="2" xfId="0" applyFont="1" applyFill="1" applyBorder="1" applyProtection="1">
      <protection hidden="1"/>
    </xf>
    <xf numFmtId="0" fontId="0" fillId="12" borderId="29" xfId="0" applyFill="1" applyBorder="1" applyProtection="1">
      <protection hidden="1"/>
    </xf>
    <xf numFmtId="0" fontId="0" fillId="12" borderId="30" xfId="0" applyFill="1" applyBorder="1" applyProtection="1">
      <protection hidden="1"/>
    </xf>
    <xf numFmtId="0" fontId="58" fillId="12" borderId="31" xfId="0" applyFont="1" applyFill="1" applyBorder="1" applyProtection="1">
      <protection hidden="1"/>
    </xf>
    <xf numFmtId="0" fontId="61" fillId="12" borderId="32" xfId="0" applyFont="1" applyFill="1" applyBorder="1" applyAlignment="1" applyProtection="1">
      <alignment horizontal="center"/>
      <protection hidden="1"/>
    </xf>
    <xf numFmtId="2" fontId="0" fillId="12" borderId="26" xfId="0" applyNumberFormat="1" applyFill="1" applyBorder="1" applyAlignment="1" applyProtection="1">
      <alignment horizontal="center"/>
      <protection hidden="1"/>
    </xf>
    <xf numFmtId="4" fontId="0" fillId="7" borderId="26" xfId="0" applyNumberFormat="1" applyFill="1" applyBorder="1" applyAlignment="1" applyProtection="1">
      <alignment horizontal="center"/>
      <protection hidden="1"/>
    </xf>
    <xf numFmtId="0" fontId="0" fillId="12" borderId="33" xfId="0" applyFill="1" applyBorder="1" applyProtection="1">
      <protection hidden="1"/>
    </xf>
    <xf numFmtId="0" fontId="0" fillId="12" borderId="34" xfId="0" applyFill="1" applyBorder="1" applyProtection="1">
      <protection hidden="1"/>
    </xf>
    <xf numFmtId="0" fontId="0" fillId="12" borderId="35" xfId="0" applyFill="1" applyBorder="1" applyProtection="1">
      <protection hidden="1"/>
    </xf>
    <xf numFmtId="0" fontId="0" fillId="7" borderId="34" xfId="0" applyFill="1" applyBorder="1" applyProtection="1">
      <protection hidden="1"/>
    </xf>
    <xf numFmtId="0" fontId="0" fillId="7" borderId="35" xfId="0" applyFill="1" applyBorder="1" applyProtection="1">
      <protection hidden="1"/>
    </xf>
    <xf numFmtId="0" fontId="0" fillId="12" borderId="36" xfId="0" applyFill="1" applyBorder="1" applyProtection="1">
      <protection hidden="1"/>
    </xf>
    <xf numFmtId="0" fontId="36" fillId="12" borderId="37" xfId="0" applyFont="1" applyFill="1" applyBorder="1" applyAlignment="1" applyProtection="1">
      <alignment horizontal="center"/>
      <protection hidden="1"/>
    </xf>
    <xf numFmtId="0" fontId="58" fillId="12" borderId="38" xfId="0" applyFont="1" applyFill="1" applyBorder="1" applyAlignment="1" applyProtection="1">
      <alignment horizontal="center"/>
      <protection hidden="1"/>
    </xf>
    <xf numFmtId="2" fontId="0" fillId="7" borderId="39" xfId="0" applyNumberFormat="1" applyFill="1" applyBorder="1" applyAlignment="1" applyProtection="1">
      <alignment horizontal="center"/>
      <protection hidden="1"/>
    </xf>
    <xf numFmtId="0" fontId="0" fillId="12" borderId="13" xfId="0" applyFill="1" applyBorder="1" applyProtection="1">
      <protection hidden="1"/>
    </xf>
    <xf numFmtId="0" fontId="0" fillId="12" borderId="40" xfId="0" applyFill="1" applyBorder="1" applyProtection="1">
      <protection hidden="1"/>
    </xf>
    <xf numFmtId="0" fontId="0" fillId="12" borderId="39" xfId="0" applyFill="1" applyBorder="1" applyProtection="1">
      <protection hidden="1"/>
    </xf>
    <xf numFmtId="0" fontId="0" fillId="12" borderId="41" xfId="0" applyFill="1" applyBorder="1" applyProtection="1">
      <protection hidden="1"/>
    </xf>
    <xf numFmtId="0" fontId="36" fillId="12" borderId="42" xfId="0" applyFont="1" applyFill="1" applyBorder="1" applyAlignment="1" applyProtection="1">
      <alignment horizontal="center"/>
      <protection hidden="1"/>
    </xf>
    <xf numFmtId="0" fontId="0" fillId="12" borderId="43" xfId="0" applyFill="1" applyBorder="1" applyProtection="1">
      <protection hidden="1"/>
    </xf>
    <xf numFmtId="0" fontId="58" fillId="12" borderId="30" xfId="0" applyFont="1" applyFill="1" applyBorder="1" applyAlignment="1" applyProtection="1">
      <alignment horizontal="center"/>
      <protection hidden="1"/>
    </xf>
    <xf numFmtId="0" fontId="0" fillId="7" borderId="40" xfId="0" applyFill="1" applyBorder="1" applyProtection="1">
      <protection hidden="1"/>
    </xf>
    <xf numFmtId="0" fontId="0" fillId="7" borderId="39" xfId="0" applyFill="1" applyBorder="1" applyProtection="1">
      <protection hidden="1"/>
    </xf>
    <xf numFmtId="0" fontId="0" fillId="12" borderId="44" xfId="0" applyFill="1" applyBorder="1" applyProtection="1">
      <protection hidden="1"/>
    </xf>
    <xf numFmtId="0" fontId="36" fillId="12" borderId="45" xfId="0" applyFont="1" applyFill="1" applyBorder="1" applyAlignment="1" applyProtection="1">
      <alignment horizontal="center"/>
      <protection hidden="1"/>
    </xf>
    <xf numFmtId="0" fontId="1" fillId="15" borderId="0" xfId="0" applyFont="1" applyFill="1" applyProtection="1">
      <protection hidden="1"/>
    </xf>
    <xf numFmtId="2" fontId="0" fillId="12" borderId="39" xfId="0" applyNumberFormat="1" applyFill="1" applyBorder="1" applyAlignment="1" applyProtection="1">
      <alignment horizontal="center"/>
      <protection hidden="1"/>
    </xf>
    <xf numFmtId="0" fontId="0" fillId="12" borderId="46" xfId="0" applyFill="1" applyBorder="1" applyProtection="1">
      <protection hidden="1"/>
    </xf>
    <xf numFmtId="0" fontId="36" fillId="12" borderId="47" xfId="0" applyFont="1" applyFill="1" applyBorder="1" applyAlignment="1" applyProtection="1">
      <alignment horizontal="center"/>
      <protection hidden="1"/>
    </xf>
    <xf numFmtId="0" fontId="61" fillId="12" borderId="38" xfId="0" applyFont="1" applyFill="1" applyBorder="1" applyAlignment="1" applyProtection="1">
      <alignment horizontal="center"/>
      <protection hidden="1"/>
    </xf>
    <xf numFmtId="0" fontId="58" fillId="12" borderId="39" xfId="0" applyFont="1" applyFill="1" applyBorder="1" applyAlignment="1" applyProtection="1">
      <alignment horizontal="center"/>
      <protection hidden="1"/>
    </xf>
    <xf numFmtId="0" fontId="0" fillId="0" borderId="48" xfId="0" applyBorder="1" applyProtection="1">
      <protection hidden="1"/>
    </xf>
    <xf numFmtId="0" fontId="0" fillId="12" borderId="2" xfId="0" applyFill="1" applyBorder="1" applyProtection="1">
      <protection hidden="1"/>
    </xf>
    <xf numFmtId="0" fontId="0" fillId="7" borderId="29" xfId="0" applyFill="1" applyBorder="1" applyProtection="1">
      <protection hidden="1"/>
    </xf>
    <xf numFmtId="0" fontId="0" fillId="7" borderId="30" xfId="0" applyFill="1" applyBorder="1" applyProtection="1">
      <protection hidden="1"/>
    </xf>
    <xf numFmtId="0" fontId="0" fillId="12" borderId="49" xfId="0" applyFill="1" applyBorder="1" applyProtection="1">
      <protection hidden="1"/>
    </xf>
    <xf numFmtId="0" fontId="36" fillId="12" borderId="50" xfId="0" applyFont="1" applyFill="1" applyBorder="1" applyAlignment="1" applyProtection="1">
      <alignment horizontal="center"/>
      <protection hidden="1"/>
    </xf>
    <xf numFmtId="2" fontId="58" fillId="12" borderId="30" xfId="0" applyNumberFormat="1" applyFont="1" applyFill="1" applyBorder="1" applyAlignment="1" applyProtection="1">
      <alignment horizontal="center"/>
      <protection hidden="1"/>
    </xf>
    <xf numFmtId="2" fontId="0" fillId="12" borderId="43" xfId="0" applyNumberFormat="1" applyFill="1" applyBorder="1" applyAlignment="1" applyProtection="1">
      <alignment horizontal="center"/>
      <protection hidden="1"/>
    </xf>
    <xf numFmtId="2" fontId="0" fillId="7" borderId="43" xfId="0" applyNumberFormat="1" applyFill="1" applyBorder="1" applyAlignment="1" applyProtection="1">
      <alignment horizontal="center"/>
      <protection hidden="1"/>
    </xf>
    <xf numFmtId="2" fontId="0" fillId="7" borderId="30" xfId="0" applyNumberFormat="1" applyFill="1" applyBorder="1" applyAlignment="1" applyProtection="1">
      <alignment horizontal="center"/>
      <protection hidden="1"/>
    </xf>
    <xf numFmtId="0" fontId="0" fillId="0" borderId="23" xfId="0" applyBorder="1" applyProtection="1">
      <protection hidden="1"/>
    </xf>
    <xf numFmtId="0" fontId="36" fillId="0" borderId="24" xfId="0" applyFont="1" applyBorder="1" applyAlignment="1" applyProtection="1">
      <alignment horizontal="right"/>
      <protection hidden="1"/>
    </xf>
    <xf numFmtId="3" fontId="46" fillId="7" borderId="25" xfId="0" applyNumberFormat="1" applyFont="1" applyFill="1" applyBorder="1" applyAlignment="1" applyProtection="1">
      <alignment horizontal="left"/>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0" fontId="0" fillId="12" borderId="21" xfId="0" applyFill="1" applyBorder="1" applyProtection="1">
      <protection hidden="1"/>
    </xf>
    <xf numFmtId="0" fontId="0" fillId="12" borderId="0" xfId="0" applyFill="1" applyProtection="1">
      <protection hidden="1"/>
    </xf>
    <xf numFmtId="0" fontId="0" fillId="7" borderId="22" xfId="0" applyFill="1" applyBorder="1" applyProtection="1">
      <protection hidden="1"/>
    </xf>
    <xf numFmtId="0" fontId="36" fillId="12" borderId="8" xfId="0" applyFont="1" applyFill="1" applyBorder="1" applyAlignment="1" applyProtection="1">
      <alignment horizontal="center"/>
      <protection hidden="1"/>
    </xf>
    <xf numFmtId="0" fontId="36" fillId="7" borderId="8" xfId="0" applyFont="1" applyFill="1" applyBorder="1" applyProtection="1">
      <protection hidden="1"/>
    </xf>
    <xf numFmtId="3" fontId="46" fillId="7" borderId="6" xfId="0" applyNumberFormat="1" applyFont="1" applyFill="1" applyBorder="1" applyAlignment="1" applyProtection="1">
      <alignment horizontal="center"/>
      <protection hidden="1"/>
    </xf>
    <xf numFmtId="3" fontId="46" fillId="7" borderId="25" xfId="0" applyNumberFormat="1" applyFont="1" applyFill="1" applyBorder="1" applyAlignment="1" applyProtection="1">
      <alignment horizontal="center"/>
      <protection hidden="1"/>
    </xf>
    <xf numFmtId="0" fontId="62" fillId="12" borderId="40" xfId="0" applyFont="1" applyFill="1" applyBorder="1" applyProtection="1">
      <protection hidden="1"/>
    </xf>
    <xf numFmtId="0" fontId="62" fillId="12" borderId="26" xfId="0" applyFont="1" applyFill="1" applyBorder="1" applyProtection="1">
      <protection hidden="1"/>
    </xf>
    <xf numFmtId="0" fontId="62" fillId="7" borderId="39" xfId="0" applyFont="1" applyFill="1" applyBorder="1" applyProtection="1">
      <protection hidden="1"/>
    </xf>
    <xf numFmtId="0" fontId="62" fillId="7" borderId="51" xfId="0" applyFont="1" applyFill="1" applyBorder="1" applyProtection="1">
      <protection hidden="1"/>
    </xf>
    <xf numFmtId="0" fontId="36" fillId="12" borderId="9" xfId="0" applyFont="1" applyFill="1" applyBorder="1" applyAlignment="1" applyProtection="1">
      <alignment horizontal="center"/>
      <protection hidden="1"/>
    </xf>
    <xf numFmtId="0" fontId="36" fillId="12" borderId="52" xfId="0" applyFont="1" applyFill="1" applyBorder="1" applyProtection="1">
      <protection hidden="1"/>
    </xf>
    <xf numFmtId="0" fontId="36" fillId="7" borderId="53" xfId="0" applyFont="1" applyFill="1" applyBorder="1" applyProtection="1">
      <protection hidden="1"/>
    </xf>
    <xf numFmtId="0" fontId="36" fillId="12" borderId="53" xfId="0" applyFont="1" applyFill="1" applyBorder="1" applyProtection="1">
      <protection hidden="1"/>
    </xf>
    <xf numFmtId="3" fontId="36" fillId="7" borderId="53" xfId="0" applyNumberFormat="1" applyFont="1" applyFill="1" applyBorder="1" applyProtection="1">
      <protection hidden="1"/>
    </xf>
    <xf numFmtId="0" fontId="36" fillId="7" borderId="9" xfId="0" applyFont="1" applyFill="1" applyBorder="1" applyProtection="1">
      <protection hidden="1"/>
    </xf>
    <xf numFmtId="0" fontId="0" fillId="12" borderId="54" xfId="0" applyFill="1" applyBorder="1" applyProtection="1">
      <protection hidden="1"/>
    </xf>
    <xf numFmtId="3" fontId="0" fillId="7" borderId="7" xfId="0" applyNumberFormat="1" applyFill="1" applyBorder="1" applyAlignment="1" applyProtection="1">
      <alignment horizontal="center"/>
      <protection hidden="1"/>
    </xf>
    <xf numFmtId="2" fontId="0" fillId="7" borderId="26" xfId="0" applyNumberFormat="1" applyFill="1" applyBorder="1" applyProtection="1">
      <protection hidden="1"/>
    </xf>
    <xf numFmtId="2" fontId="0" fillId="7" borderId="39" xfId="0" applyNumberFormat="1" applyFill="1" applyBorder="1" applyProtection="1">
      <protection hidden="1"/>
    </xf>
    <xf numFmtId="2" fontId="0" fillId="7" borderId="51" xfId="0" applyNumberFormat="1" applyFill="1" applyBorder="1" applyProtection="1">
      <protection hidden="1"/>
    </xf>
    <xf numFmtId="3" fontId="0" fillId="12" borderId="10" xfId="0" applyNumberFormat="1" applyFill="1" applyBorder="1" applyAlignment="1" applyProtection="1">
      <alignment horizontal="center"/>
      <protection hidden="1"/>
    </xf>
    <xf numFmtId="3" fontId="0" fillId="12" borderId="11" xfId="0" applyNumberFormat="1" applyFill="1" applyBorder="1" applyAlignment="1" applyProtection="1">
      <alignment horizontal="center"/>
      <protection hidden="1"/>
    </xf>
    <xf numFmtId="3" fontId="0" fillId="12" borderId="12" xfId="0" applyNumberFormat="1" applyFill="1" applyBorder="1" applyAlignment="1" applyProtection="1">
      <alignment horizontal="center"/>
      <protection hidden="1"/>
    </xf>
    <xf numFmtId="4" fontId="0" fillId="7" borderId="10" xfId="0" applyNumberFormat="1" applyFill="1" applyBorder="1" applyAlignment="1" applyProtection="1">
      <alignment horizontal="center"/>
      <protection hidden="1"/>
    </xf>
    <xf numFmtId="0" fontId="0" fillId="12" borderId="55" xfId="0" applyFill="1" applyBorder="1" applyProtection="1">
      <protection hidden="1"/>
    </xf>
    <xf numFmtId="0" fontId="0" fillId="7" borderId="56" xfId="0" applyFill="1" applyBorder="1" applyProtection="1">
      <protection hidden="1"/>
    </xf>
    <xf numFmtId="0" fontId="0" fillId="12" borderId="56" xfId="0" applyFill="1" applyBorder="1" applyProtection="1">
      <protection hidden="1"/>
    </xf>
    <xf numFmtId="3" fontId="0" fillId="7" borderId="38" xfId="0" applyNumberFormat="1" applyFill="1" applyBorder="1" applyProtection="1">
      <protection hidden="1"/>
    </xf>
    <xf numFmtId="3" fontId="0" fillId="7" borderId="13" xfId="0" applyNumberFormat="1" applyFill="1" applyBorder="1" applyProtection="1">
      <protection hidden="1"/>
    </xf>
    <xf numFmtId="0" fontId="0" fillId="12" borderId="40" xfId="0" applyFill="1" applyBorder="1" applyAlignment="1" applyProtection="1">
      <alignment horizontal="right"/>
      <protection hidden="1"/>
    </xf>
    <xf numFmtId="3" fontId="0" fillId="12" borderId="26" xfId="0" applyNumberFormat="1" applyFill="1" applyBorder="1" applyProtection="1">
      <protection hidden="1"/>
    </xf>
    <xf numFmtId="3" fontId="0" fillId="12" borderId="39" xfId="0" applyNumberFormat="1" applyFill="1" applyBorder="1" applyProtection="1">
      <protection hidden="1"/>
    </xf>
    <xf numFmtId="0" fontId="0" fillId="0" borderId="57" xfId="0" applyBorder="1" applyProtection="1">
      <protection hidden="1"/>
    </xf>
    <xf numFmtId="3" fontId="0" fillId="12" borderId="13" xfId="0" applyNumberFormat="1" applyFill="1" applyBorder="1" applyAlignment="1" applyProtection="1">
      <alignment horizontal="center"/>
      <protection hidden="1"/>
    </xf>
    <xf numFmtId="3" fontId="0" fillId="12" borderId="14" xfId="0" applyNumberFormat="1" applyFill="1" applyBorder="1" applyAlignment="1" applyProtection="1">
      <alignment horizontal="center"/>
      <protection hidden="1"/>
    </xf>
    <xf numFmtId="3" fontId="0" fillId="12" borderId="15" xfId="0" applyNumberFormat="1" applyFill="1" applyBorder="1" applyAlignment="1" applyProtection="1">
      <alignment horizontal="center"/>
      <protection hidden="1"/>
    </xf>
    <xf numFmtId="4" fontId="0" fillId="7" borderId="13" xfId="0" applyNumberFormat="1" applyFill="1" applyBorder="1" applyAlignment="1" applyProtection="1">
      <alignment horizontal="center"/>
      <protection hidden="1"/>
    </xf>
    <xf numFmtId="1" fontId="0" fillId="7" borderId="26" xfId="0" applyNumberFormat="1" applyFill="1" applyBorder="1" applyProtection="1">
      <protection hidden="1"/>
    </xf>
    <xf numFmtId="3" fontId="0" fillId="7" borderId="39" xfId="0" applyNumberFormat="1" applyFill="1" applyBorder="1" applyProtection="1">
      <protection hidden="1"/>
    </xf>
    <xf numFmtId="3" fontId="0" fillId="12" borderId="43" xfId="0" applyNumberFormat="1" applyFill="1" applyBorder="1" applyProtection="1">
      <protection hidden="1"/>
    </xf>
    <xf numFmtId="3" fontId="0" fillId="12" borderId="30" xfId="0" applyNumberFormat="1" applyFill="1" applyBorder="1" applyProtection="1">
      <protection hidden="1"/>
    </xf>
    <xf numFmtId="165" fontId="0" fillId="12" borderId="13" xfId="0" applyNumberFormat="1" applyFill="1" applyBorder="1" applyAlignment="1" applyProtection="1">
      <alignment horizontal="center"/>
      <protection hidden="1"/>
    </xf>
    <xf numFmtId="2" fontId="0" fillId="12" borderId="26" xfId="0" applyNumberFormat="1" applyFill="1" applyBorder="1" applyProtection="1">
      <protection hidden="1"/>
    </xf>
    <xf numFmtId="1" fontId="0" fillId="0" borderId="0" xfId="0" applyNumberFormat="1" applyProtection="1">
      <protection hidden="1"/>
    </xf>
    <xf numFmtId="165" fontId="0" fillId="7" borderId="13" xfId="0" applyNumberFormat="1" applyFill="1" applyBorder="1" applyAlignment="1" applyProtection="1">
      <alignment horizontal="center"/>
      <protection hidden="1"/>
    </xf>
    <xf numFmtId="1" fontId="0" fillId="0" borderId="57" xfId="0" applyNumberFormat="1" applyBorder="1" applyAlignment="1" applyProtection="1">
      <alignment horizontal="left"/>
      <protection hidden="1"/>
    </xf>
    <xf numFmtId="0" fontId="0" fillId="7" borderId="43" xfId="0" applyFill="1" applyBorder="1" applyProtection="1">
      <protection hidden="1"/>
    </xf>
    <xf numFmtId="2" fontId="0" fillId="7" borderId="30" xfId="0" applyNumberFormat="1" applyFill="1" applyBorder="1" applyProtection="1">
      <protection hidden="1"/>
    </xf>
    <xf numFmtId="2" fontId="0" fillId="7" borderId="58" xfId="0" applyNumberFormat="1" applyFill="1" applyBorder="1" applyProtection="1">
      <protection hidden="1"/>
    </xf>
    <xf numFmtId="3" fontId="0" fillId="12" borderId="2" xfId="0" applyNumberFormat="1" applyFill="1" applyBorder="1" applyAlignment="1" applyProtection="1">
      <alignment horizontal="center"/>
      <protection hidden="1"/>
    </xf>
    <xf numFmtId="3" fontId="0" fillId="12" borderId="16" xfId="0" applyNumberFormat="1" applyFill="1" applyBorder="1" applyAlignment="1" applyProtection="1">
      <alignment horizontal="center"/>
      <protection hidden="1"/>
    </xf>
    <xf numFmtId="3" fontId="0" fillId="12" borderId="17" xfId="0" applyNumberFormat="1" applyFill="1" applyBorder="1" applyAlignment="1" applyProtection="1">
      <alignment horizontal="center"/>
      <protection hidden="1"/>
    </xf>
    <xf numFmtId="4" fontId="0" fillId="12" borderId="2" xfId="0" applyNumberFormat="1" applyFill="1" applyBorder="1" applyAlignment="1" applyProtection="1">
      <alignment horizontal="center"/>
      <protection hidden="1"/>
    </xf>
    <xf numFmtId="4" fontId="0" fillId="7" borderId="2" xfId="0" applyNumberFormat="1" applyFill="1" applyBorder="1" applyAlignment="1" applyProtection="1">
      <alignment horizontal="center"/>
      <protection hidden="1"/>
    </xf>
    <xf numFmtId="3" fontId="0" fillId="7" borderId="30" xfId="0" applyNumberFormat="1" applyFill="1" applyBorder="1" applyProtection="1">
      <protection hidden="1"/>
    </xf>
    <xf numFmtId="3" fontId="46" fillId="0" borderId="19" xfId="0" applyNumberFormat="1" applyFont="1" applyBorder="1" applyAlignment="1" applyProtection="1">
      <alignment horizontal="center"/>
      <protection hidden="1"/>
    </xf>
    <xf numFmtId="3" fontId="46" fillId="0" borderId="20" xfId="0" applyNumberFormat="1" applyFont="1" applyBorder="1" applyAlignment="1" applyProtection="1">
      <alignment horizontal="right"/>
      <protection hidden="1"/>
    </xf>
    <xf numFmtId="3" fontId="46" fillId="0" borderId="0" xfId="0" applyNumberFormat="1" applyFont="1" applyAlignment="1" applyProtection="1">
      <alignment horizontal="center"/>
      <protection hidden="1"/>
    </xf>
    <xf numFmtId="3" fontId="46" fillId="0" borderId="0" xfId="0" applyNumberFormat="1" applyFont="1" applyAlignment="1" applyProtection="1">
      <alignment horizontal="right"/>
      <protection hidden="1"/>
    </xf>
    <xf numFmtId="0" fontId="0" fillId="16" borderId="0" xfId="0" applyFill="1" applyAlignment="1" applyProtection="1">
      <alignment horizontal="right"/>
      <protection hidden="1"/>
    </xf>
    <xf numFmtId="1" fontId="0" fillId="16" borderId="0" xfId="0" applyNumberFormat="1" applyFill="1" applyAlignment="1" applyProtection="1">
      <alignment horizontal="center"/>
      <protection hidden="1"/>
    </xf>
    <xf numFmtId="0" fontId="0" fillId="16" borderId="0" xfId="0" applyFill="1" applyProtection="1">
      <protection hidden="1"/>
    </xf>
    <xf numFmtId="3" fontId="46" fillId="16" borderId="0" xfId="0" applyNumberFormat="1" applyFont="1" applyFill="1" applyAlignment="1" applyProtection="1">
      <alignment horizontal="center"/>
      <protection hidden="1"/>
    </xf>
    <xf numFmtId="3" fontId="46" fillId="16" borderId="0" xfId="0" applyNumberFormat="1" applyFont="1" applyFill="1" applyAlignment="1" applyProtection="1">
      <alignment horizontal="right"/>
      <protection hidden="1"/>
    </xf>
    <xf numFmtId="0" fontId="0" fillId="12" borderId="55" xfId="0" applyFill="1" applyBorder="1" applyAlignment="1" applyProtection="1">
      <alignment horizontal="right"/>
      <protection hidden="1"/>
    </xf>
    <xf numFmtId="0" fontId="0" fillId="12" borderId="38" xfId="0" applyFill="1" applyBorder="1" applyAlignment="1" applyProtection="1">
      <alignment horizontal="center"/>
      <protection hidden="1"/>
    </xf>
    <xf numFmtId="9" fontId="35" fillId="7" borderId="0" xfId="0" applyNumberFormat="1" applyFont="1" applyFill="1" applyAlignment="1" applyProtection="1">
      <alignment horizontal="left"/>
      <protection hidden="1"/>
    </xf>
    <xf numFmtId="1" fontId="0" fillId="0" borderId="0" xfId="0" applyNumberFormat="1" applyAlignment="1" applyProtection="1">
      <alignment horizontal="left"/>
      <protection hidden="1"/>
    </xf>
    <xf numFmtId="0" fontId="0" fillId="12" borderId="39" xfId="0" applyFill="1" applyBorder="1" applyAlignment="1" applyProtection="1">
      <alignment horizontal="center"/>
      <protection hidden="1"/>
    </xf>
    <xf numFmtId="0" fontId="0" fillId="7" borderId="0" xfId="0" applyFill="1" applyAlignment="1" applyProtection="1">
      <alignment horizontal="right"/>
      <protection hidden="1"/>
    </xf>
    <xf numFmtId="0" fontId="0" fillId="12" borderId="29" xfId="0" applyFill="1" applyBorder="1" applyAlignment="1" applyProtection="1">
      <alignment horizontal="right"/>
      <protection hidden="1"/>
    </xf>
    <xf numFmtId="0" fontId="0" fillId="12" borderId="30" xfId="0" applyFill="1" applyBorder="1" applyAlignment="1" applyProtection="1">
      <alignment horizontal="center"/>
      <protection hidden="1"/>
    </xf>
    <xf numFmtId="0" fontId="35" fillId="7" borderId="0" xfId="0" applyFont="1" applyFill="1" applyAlignment="1" applyProtection="1">
      <alignment horizontal="left"/>
      <protection hidden="1"/>
    </xf>
    <xf numFmtId="1" fontId="0" fillId="7" borderId="0" xfId="0" applyNumberFormat="1" applyFill="1" applyAlignment="1" applyProtection="1">
      <alignment horizontal="left"/>
      <protection hidden="1"/>
    </xf>
    <xf numFmtId="0" fontId="0" fillId="12" borderId="52" xfId="0" applyFill="1" applyBorder="1" applyAlignment="1" applyProtection="1">
      <alignment horizontal="right"/>
      <protection hidden="1"/>
    </xf>
    <xf numFmtId="0" fontId="0" fillId="12" borderId="59" xfId="0" applyFill="1" applyBorder="1" applyAlignment="1" applyProtection="1">
      <alignment horizontal="center"/>
      <protection hidden="1"/>
    </xf>
    <xf numFmtId="0" fontId="0" fillId="7" borderId="0" xfId="0" applyFill="1" applyAlignment="1" applyProtection="1">
      <alignment horizontal="left"/>
      <protection hidden="1"/>
    </xf>
    <xf numFmtId="0" fontId="36" fillId="12" borderId="26" xfId="0" applyFont="1" applyFill="1" applyBorder="1" applyAlignment="1" applyProtection="1">
      <alignment horizontal="right"/>
      <protection hidden="1"/>
    </xf>
    <xf numFmtId="0" fontId="35" fillId="12" borderId="26" xfId="0" applyFont="1" applyFill="1" applyBorder="1" applyAlignment="1" applyProtection="1">
      <alignment horizontal="right"/>
      <protection hidden="1"/>
    </xf>
    <xf numFmtId="3" fontId="0" fillId="7" borderId="0" xfId="0" applyNumberFormat="1" applyFill="1" applyAlignment="1" applyProtection="1">
      <alignment horizontal="left"/>
      <protection hidden="1"/>
    </xf>
    <xf numFmtId="4" fontId="0" fillId="7" borderId="0" xfId="0" applyNumberFormat="1" applyFill="1" applyAlignment="1" applyProtection="1">
      <alignment horizontal="left"/>
      <protection hidden="1"/>
    </xf>
    <xf numFmtId="3" fontId="36" fillId="7" borderId="0" xfId="0" applyNumberFormat="1" applyFont="1" applyFill="1" applyAlignment="1" applyProtection="1">
      <alignment horizontal="left"/>
      <protection hidden="1"/>
    </xf>
    <xf numFmtId="1" fontId="36" fillId="0" borderId="0" xfId="0" applyNumberFormat="1" applyFont="1" applyAlignment="1" applyProtection="1">
      <alignment horizontal="center"/>
      <protection hidden="1"/>
    </xf>
    <xf numFmtId="0" fontId="0" fillId="0" borderId="26" xfId="0" applyBorder="1" applyAlignment="1" applyProtection="1">
      <alignment horizontal="left"/>
      <protection hidden="1"/>
    </xf>
    <xf numFmtId="0" fontId="36" fillId="7" borderId="26" xfId="0" applyFont="1" applyFill="1" applyBorder="1" applyAlignment="1" applyProtection="1">
      <alignment horizontal="left" wrapText="1"/>
      <protection hidden="1"/>
    </xf>
    <xf numFmtId="0" fontId="0" fillId="7" borderId="26" xfId="0" applyFill="1" applyBorder="1" applyAlignment="1" applyProtection="1">
      <alignment horizontal="center" wrapText="1"/>
      <protection hidden="1"/>
    </xf>
    <xf numFmtId="2" fontId="0" fillId="7" borderId="26" xfId="0" applyNumberFormat="1" applyFill="1" applyBorder="1" applyAlignment="1" applyProtection="1">
      <alignment horizontal="center"/>
      <protection hidden="1"/>
    </xf>
    <xf numFmtId="164" fontId="0" fillId="7" borderId="26" xfId="0" applyNumberFormat="1" applyFill="1" applyBorder="1" applyAlignment="1" applyProtection="1">
      <alignment horizontal="center"/>
      <protection hidden="1"/>
    </xf>
    <xf numFmtId="3" fontId="36" fillId="7" borderId="26" xfId="0" applyNumberFormat="1" applyFont="1" applyFill="1" applyBorder="1" applyAlignment="1" applyProtection="1">
      <alignment horizontal="center"/>
      <protection hidden="1"/>
    </xf>
    <xf numFmtId="0" fontId="36" fillId="0" borderId="0" xfId="0" applyFont="1" applyAlignment="1" applyProtection="1">
      <alignment horizontal="left"/>
      <protection hidden="1"/>
    </xf>
    <xf numFmtId="1" fontId="36" fillId="7" borderId="0" xfId="0" applyNumberFormat="1" applyFont="1" applyFill="1" applyAlignment="1" applyProtection="1">
      <alignment horizontal="center"/>
      <protection hidden="1"/>
    </xf>
    <xf numFmtId="3" fontId="36" fillId="7" borderId="0" xfId="0" applyNumberFormat="1" applyFont="1" applyFill="1" applyAlignment="1" applyProtection="1">
      <alignment horizontal="center"/>
      <protection hidden="1"/>
    </xf>
    <xf numFmtId="3" fontId="46" fillId="7" borderId="0" xfId="0" applyNumberFormat="1" applyFont="1" applyFill="1" applyAlignment="1" applyProtection="1">
      <alignment horizontal="center"/>
      <protection hidden="1"/>
    </xf>
    <xf numFmtId="9" fontId="36" fillId="7" borderId="0" xfId="0" applyNumberFormat="1" applyFont="1" applyFill="1" applyAlignment="1" applyProtection="1">
      <alignment horizontal="center"/>
      <protection hidden="1"/>
    </xf>
    <xf numFmtId="2" fontId="0" fillId="7" borderId="0" xfId="0" applyNumberFormat="1" applyFill="1" applyAlignment="1" applyProtection="1">
      <alignment horizontal="right"/>
      <protection hidden="1"/>
    </xf>
    <xf numFmtId="164" fontId="0" fillId="7" borderId="0" xfId="0" applyNumberFormat="1" applyFill="1" applyAlignment="1" applyProtection="1">
      <alignment horizontal="right"/>
      <protection hidden="1"/>
    </xf>
    <xf numFmtId="3" fontId="36" fillId="0" borderId="0" xfId="0" applyNumberFormat="1" applyFont="1" applyAlignment="1" applyProtection="1">
      <alignment horizontal="center"/>
      <protection hidden="1"/>
    </xf>
    <xf numFmtId="168" fontId="0" fillId="0" borderId="0" xfId="0" applyNumberFormat="1" applyProtection="1">
      <protection hidden="1"/>
    </xf>
    <xf numFmtId="1" fontId="0" fillId="0" borderId="0" xfId="0" applyNumberFormat="1" applyAlignment="1" applyProtection="1">
      <alignment horizontal="right"/>
      <protection hidden="1"/>
    </xf>
    <xf numFmtId="2" fontId="0" fillId="0" borderId="0" xfId="0" applyNumberFormat="1" applyAlignment="1" applyProtection="1">
      <alignment horizontal="left"/>
      <protection hidden="1"/>
    </xf>
    <xf numFmtId="164" fontId="0" fillId="0" borderId="0" xfId="0" applyNumberFormat="1" applyProtection="1">
      <protection hidden="1"/>
    </xf>
    <xf numFmtId="3" fontId="0" fillId="0" borderId="0" xfId="0" applyNumberFormat="1" applyProtection="1">
      <protection hidden="1"/>
    </xf>
    <xf numFmtId="1" fontId="0" fillId="7" borderId="0" xfId="0" applyNumberFormat="1" applyFill="1" applyAlignment="1" applyProtection="1">
      <alignment horizontal="right"/>
      <protection hidden="1"/>
    </xf>
    <xf numFmtId="1" fontId="0" fillId="12" borderId="0" xfId="0" applyNumberFormat="1" applyFill="1" applyAlignment="1" applyProtection="1">
      <alignment horizontal="right"/>
      <protection hidden="1"/>
    </xf>
    <xf numFmtId="0" fontId="0" fillId="12" borderId="6" xfId="0" applyFill="1" applyBorder="1" applyProtection="1">
      <protection hidden="1"/>
    </xf>
    <xf numFmtId="0" fontId="36" fillId="12" borderId="60" xfId="0" applyFont="1" applyFill="1" applyBorder="1" applyProtection="1">
      <protection hidden="1"/>
    </xf>
    <xf numFmtId="0" fontId="36" fillId="12" borderId="59" xfId="0" applyFont="1" applyFill="1" applyBorder="1" applyProtection="1">
      <protection hidden="1"/>
    </xf>
    <xf numFmtId="0" fontId="36" fillId="12" borderId="33" xfId="0" applyFont="1" applyFill="1" applyBorder="1" applyAlignment="1" applyProtection="1">
      <alignment horizontal="right"/>
      <protection hidden="1"/>
    </xf>
    <xf numFmtId="0" fontId="0" fillId="12" borderId="61" xfId="0" applyFill="1" applyBorder="1" applyProtection="1">
      <protection hidden="1"/>
    </xf>
    <xf numFmtId="1" fontId="36" fillId="12" borderId="52" xfId="0" applyNumberFormat="1" applyFont="1" applyFill="1" applyBorder="1" applyProtection="1">
      <protection hidden="1"/>
    </xf>
    <xf numFmtId="1" fontId="36" fillId="12" borderId="53" xfId="0" applyNumberFormat="1" applyFont="1" applyFill="1" applyBorder="1" applyProtection="1">
      <protection hidden="1"/>
    </xf>
    <xf numFmtId="1" fontId="36" fillId="12" borderId="59" xfId="0" applyNumberFormat="1" applyFont="1" applyFill="1" applyBorder="1" applyProtection="1">
      <protection hidden="1"/>
    </xf>
    <xf numFmtId="1" fontId="36" fillId="12" borderId="59" xfId="0" applyNumberFormat="1" applyFont="1" applyFill="1" applyBorder="1" applyAlignment="1" applyProtection="1">
      <alignment horizontal="center"/>
      <protection hidden="1"/>
    </xf>
    <xf numFmtId="9" fontId="0" fillId="7" borderId="0" xfId="0" applyNumberFormat="1" applyFill="1" applyAlignment="1" applyProtection="1">
      <alignment horizontal="right"/>
      <protection hidden="1"/>
    </xf>
    <xf numFmtId="0" fontId="36" fillId="7" borderId="13" xfId="0" applyFont="1" applyFill="1" applyBorder="1" applyProtection="1">
      <protection hidden="1"/>
    </xf>
    <xf numFmtId="1" fontId="0" fillId="7" borderId="62" xfId="0" applyNumberFormat="1" applyFill="1" applyBorder="1" applyProtection="1">
      <protection hidden="1"/>
    </xf>
    <xf numFmtId="1" fontId="0" fillId="12" borderId="34" xfId="0" applyNumberFormat="1" applyFill="1" applyBorder="1" applyProtection="1">
      <protection hidden="1"/>
    </xf>
    <xf numFmtId="1" fontId="0" fillId="12" borderId="54" xfId="0" applyNumberFormat="1" applyFill="1" applyBorder="1" applyProtection="1">
      <protection hidden="1"/>
    </xf>
    <xf numFmtId="1" fontId="0" fillId="12" borderId="35" xfId="0" applyNumberFormat="1" applyFill="1" applyBorder="1" applyProtection="1">
      <protection hidden="1"/>
    </xf>
    <xf numFmtId="1" fontId="0" fillId="12" borderId="35" xfId="0" applyNumberFormat="1" applyFill="1" applyBorder="1" applyAlignment="1" applyProtection="1">
      <alignment horizontal="center"/>
      <protection hidden="1"/>
    </xf>
    <xf numFmtId="1" fontId="0" fillId="7" borderId="39" xfId="0" applyNumberFormat="1" applyFill="1" applyBorder="1" applyProtection="1">
      <protection hidden="1"/>
    </xf>
    <xf numFmtId="1" fontId="0" fillId="12" borderId="40" xfId="0" applyNumberFormat="1" applyFill="1" applyBorder="1" applyProtection="1">
      <protection hidden="1"/>
    </xf>
    <xf numFmtId="1" fontId="0" fillId="12" borderId="26" xfId="0" applyNumberFormat="1" applyFill="1" applyBorder="1" applyProtection="1">
      <protection hidden="1"/>
    </xf>
    <xf numFmtId="1" fontId="0" fillId="12" borderId="39" xfId="0" applyNumberFormat="1" applyFill="1" applyBorder="1" applyProtection="1">
      <protection hidden="1"/>
    </xf>
    <xf numFmtId="1" fontId="0" fillId="12" borderId="39" xfId="0" applyNumberFormat="1" applyFill="1" applyBorder="1" applyAlignment="1" applyProtection="1">
      <alignment horizontal="center"/>
      <protection hidden="1"/>
    </xf>
    <xf numFmtId="0" fontId="36" fillId="7" borderId="3" xfId="0" applyFont="1" applyFill="1" applyBorder="1" applyAlignment="1" applyProtection="1">
      <alignment horizontal="right"/>
      <protection hidden="1"/>
    </xf>
    <xf numFmtId="1" fontId="0" fillId="7" borderId="63" xfId="0" applyNumberFormat="1" applyFill="1" applyBorder="1" applyProtection="1">
      <protection hidden="1"/>
    </xf>
    <xf numFmtId="0" fontId="36" fillId="7" borderId="6" xfId="0" applyFont="1" applyFill="1" applyBorder="1" applyAlignment="1" applyProtection="1">
      <alignment horizontal="right"/>
      <protection hidden="1"/>
    </xf>
    <xf numFmtId="1" fontId="36" fillId="7" borderId="52" xfId="0" applyNumberFormat="1" applyFont="1" applyFill="1" applyBorder="1" applyProtection="1">
      <protection hidden="1"/>
    </xf>
    <xf numFmtId="1" fontId="36" fillId="7" borderId="53" xfId="0" applyNumberFormat="1" applyFont="1" applyFill="1" applyBorder="1" applyProtection="1">
      <protection hidden="1"/>
    </xf>
    <xf numFmtId="1" fontId="36" fillId="7" borderId="59" xfId="0" applyNumberFormat="1" applyFont="1" applyFill="1" applyBorder="1" applyProtection="1">
      <protection hidden="1"/>
    </xf>
    <xf numFmtId="0" fontId="0" fillId="12" borderId="23" xfId="0" applyFill="1" applyBorder="1" applyProtection="1">
      <protection hidden="1"/>
    </xf>
    <xf numFmtId="1" fontId="36" fillId="12" borderId="10" xfId="0" applyNumberFormat="1" applyFont="1" applyFill="1" applyBorder="1" applyProtection="1">
      <protection hidden="1"/>
    </xf>
    <xf numFmtId="1" fontId="0" fillId="12" borderId="61" xfId="0" applyNumberFormat="1" applyFill="1" applyBorder="1" applyProtection="1">
      <protection hidden="1"/>
    </xf>
    <xf numFmtId="1" fontId="36" fillId="12" borderId="13" xfId="0" applyNumberFormat="1" applyFont="1" applyFill="1" applyBorder="1" applyProtection="1">
      <protection hidden="1"/>
    </xf>
    <xf numFmtId="1" fontId="0" fillId="12" borderId="62" xfId="0" applyNumberFormat="1" applyFill="1" applyBorder="1" applyProtection="1">
      <protection hidden="1"/>
    </xf>
    <xf numFmtId="1" fontId="36" fillId="12" borderId="3" xfId="0" applyNumberFormat="1" applyFont="1" applyFill="1" applyBorder="1" applyProtection="1">
      <protection hidden="1"/>
    </xf>
    <xf numFmtId="1" fontId="0" fillId="12" borderId="63" xfId="0" applyNumberFormat="1" applyFill="1" applyBorder="1" applyProtection="1">
      <protection hidden="1"/>
    </xf>
    <xf numFmtId="1" fontId="0" fillId="12" borderId="48" xfId="0" applyNumberFormat="1" applyFill="1" applyBorder="1" applyProtection="1">
      <protection hidden="1"/>
    </xf>
    <xf numFmtId="0" fontId="0" fillId="12" borderId="48" xfId="0" applyFill="1" applyBorder="1" applyProtection="1">
      <protection hidden="1"/>
    </xf>
    <xf numFmtId="0" fontId="0" fillId="12" borderId="64" xfId="0" applyFill="1" applyBorder="1" applyProtection="1">
      <protection hidden="1"/>
    </xf>
    <xf numFmtId="0" fontId="0" fillId="7" borderId="6" xfId="0" applyFill="1" applyBorder="1" applyProtection="1">
      <protection hidden="1"/>
    </xf>
    <xf numFmtId="2" fontId="0" fillId="7" borderId="60" xfId="0" applyNumberFormat="1" applyFill="1" applyBorder="1" applyProtection="1">
      <protection hidden="1"/>
    </xf>
    <xf numFmtId="1" fontId="0" fillId="7" borderId="53" xfId="0" applyNumberFormat="1" applyFill="1" applyBorder="1" applyProtection="1">
      <protection hidden="1"/>
    </xf>
    <xf numFmtId="1" fontId="0" fillId="7" borderId="59" xfId="0" applyNumberFormat="1" applyFill="1" applyBorder="1" applyProtection="1">
      <protection hidden="1"/>
    </xf>
    <xf numFmtId="1" fontId="0" fillId="12" borderId="65" xfId="0" applyNumberFormat="1" applyFill="1" applyBorder="1" applyProtection="1">
      <protection hidden="1"/>
    </xf>
    <xf numFmtId="1" fontId="0" fillId="12" borderId="64" xfId="0" applyNumberFormat="1" applyFill="1" applyBorder="1" applyProtection="1">
      <protection hidden="1"/>
    </xf>
    <xf numFmtId="0" fontId="0" fillId="12" borderId="64" xfId="0" applyFill="1" applyBorder="1" applyAlignment="1" applyProtection="1">
      <alignment horizontal="center"/>
      <protection hidden="1"/>
    </xf>
    <xf numFmtId="1" fontId="0" fillId="12" borderId="52" xfId="0" applyNumberFormat="1" applyFill="1" applyBorder="1" applyProtection="1">
      <protection hidden="1"/>
    </xf>
    <xf numFmtId="1" fontId="0" fillId="12" borderId="53" xfId="0" applyNumberFormat="1" applyFill="1" applyBorder="1" applyProtection="1">
      <protection hidden="1"/>
    </xf>
    <xf numFmtId="1" fontId="0" fillId="12" borderId="59" xfId="0" applyNumberFormat="1" applyFill="1" applyBorder="1" applyProtection="1">
      <protection hidden="1"/>
    </xf>
    <xf numFmtId="0" fontId="14" fillId="0" borderId="0" xfId="0" applyFont="1" applyAlignment="1" applyProtection="1">
      <alignment horizontal="left"/>
      <protection hidden="1"/>
    </xf>
    <xf numFmtId="0" fontId="14" fillId="0" borderId="0" xfId="0" applyFont="1" applyProtection="1">
      <protection hidden="1"/>
    </xf>
    <xf numFmtId="0" fontId="15" fillId="0" borderId="0" xfId="0" applyFont="1" applyProtection="1">
      <protection hidden="1"/>
    </xf>
    <xf numFmtId="0" fontId="16" fillId="12" borderId="40" xfId="0" applyFont="1" applyFill="1" applyBorder="1" applyAlignment="1" applyProtection="1">
      <alignment horizontal="center" vertical="center" wrapText="1"/>
      <protection hidden="1"/>
    </xf>
    <xf numFmtId="0" fontId="16" fillId="12" borderId="26" xfId="0" applyFont="1" applyFill="1" applyBorder="1" applyAlignment="1" applyProtection="1">
      <alignment horizontal="center" vertical="center" wrapText="1"/>
      <protection hidden="1"/>
    </xf>
    <xf numFmtId="0" fontId="16" fillId="12" borderId="39" xfId="0" applyFont="1" applyFill="1" applyBorder="1" applyAlignment="1" applyProtection="1">
      <alignment horizontal="right" vertical="center" wrapText="1"/>
      <protection hidden="1"/>
    </xf>
    <xf numFmtId="0" fontId="16" fillId="12" borderId="29" xfId="0" applyFont="1" applyFill="1" applyBorder="1" applyAlignment="1" applyProtection="1">
      <alignment horizontal="center" vertical="center" wrapText="1"/>
      <protection hidden="1"/>
    </xf>
    <xf numFmtId="0" fontId="16" fillId="12" borderId="43" xfId="0" applyFont="1" applyFill="1" applyBorder="1" applyAlignment="1" applyProtection="1">
      <alignment horizontal="center" vertical="center" wrapText="1"/>
      <protection hidden="1"/>
    </xf>
    <xf numFmtId="0" fontId="16" fillId="12" borderId="30" xfId="0" applyFont="1" applyFill="1" applyBorder="1" applyAlignment="1" applyProtection="1">
      <alignment horizontal="right" vertical="center" wrapText="1"/>
      <protection hidden="1"/>
    </xf>
    <xf numFmtId="0" fontId="35" fillId="0" borderId="26" xfId="0" applyFont="1" applyBorder="1" applyProtection="1">
      <protection hidden="1"/>
    </xf>
    <xf numFmtId="0" fontId="63" fillId="0" borderId="0" xfId="0" applyFont="1" applyAlignment="1">
      <alignment horizontal="left"/>
    </xf>
    <xf numFmtId="1" fontId="64" fillId="0" borderId="0" xfId="0" applyNumberFormat="1" applyFont="1" applyAlignment="1">
      <alignment horizontal="center"/>
    </xf>
    <xf numFmtId="0" fontId="38" fillId="0" borderId="0" xfId="0" applyFont="1" applyAlignment="1">
      <alignment horizontal="left"/>
    </xf>
    <xf numFmtId="0" fontId="65" fillId="0" borderId="0" xfId="0" applyFont="1" applyAlignment="1">
      <alignment horizontal="left"/>
    </xf>
    <xf numFmtId="1" fontId="63" fillId="0" borderId="0" xfId="0" applyNumberFormat="1" applyFont="1" applyAlignment="1">
      <alignment horizontal="right"/>
    </xf>
    <xf numFmtId="1" fontId="63" fillId="0" borderId="0" xfId="0" applyNumberFormat="1" applyFont="1" applyAlignment="1">
      <alignment horizontal="center"/>
    </xf>
    <xf numFmtId="0" fontId="40" fillId="0" borderId="8" xfId="0" applyFont="1" applyBorder="1" applyAlignment="1">
      <alignment horizontal="center"/>
    </xf>
    <xf numFmtId="0" fontId="66" fillId="0" borderId="27" xfId="0" applyFont="1" applyBorder="1" applyAlignment="1">
      <alignment horizontal="right"/>
    </xf>
    <xf numFmtId="3" fontId="39" fillId="0" borderId="2" xfId="0" applyNumberFormat="1" applyFont="1" applyBorder="1" applyAlignment="1">
      <alignment horizontal="center"/>
    </xf>
    <xf numFmtId="1" fontId="66" fillId="0" borderId="0" xfId="0" applyNumberFormat="1" applyFont="1" applyAlignment="1">
      <alignment horizontal="left"/>
    </xf>
    <xf numFmtId="0" fontId="39" fillId="0" borderId="66" xfId="0" applyFont="1" applyBorder="1" applyAlignment="1">
      <alignment horizontal="center"/>
    </xf>
    <xf numFmtId="0" fontId="66" fillId="0" borderId="0" xfId="0" applyFont="1"/>
    <xf numFmtId="0" fontId="39" fillId="0" borderId="3" xfId="0" applyFont="1" applyBorder="1" applyAlignment="1">
      <alignment horizontal="center"/>
    </xf>
    <xf numFmtId="3" fontId="38" fillId="2" borderId="1" xfId="0" applyNumberFormat="1" applyFont="1" applyFill="1" applyBorder="1" applyAlignment="1">
      <alignment horizontal="center"/>
    </xf>
    <xf numFmtId="0" fontId="0" fillId="17" borderId="0" xfId="0" applyFill="1" applyProtection="1">
      <protection hidden="1"/>
    </xf>
    <xf numFmtId="0" fontId="36" fillId="6" borderId="0" xfId="0" applyFont="1" applyFill="1" applyAlignment="1" applyProtection="1">
      <alignment horizontal="left"/>
      <protection locked="0" hidden="1"/>
    </xf>
    <xf numFmtId="0" fontId="36" fillId="9" borderId="0" xfId="0" applyFont="1" applyFill="1" applyAlignment="1" applyProtection="1">
      <alignment horizontal="left"/>
      <protection locked="0" hidden="1"/>
    </xf>
    <xf numFmtId="0" fontId="0" fillId="18" borderId="0" xfId="0" applyFill="1" applyProtection="1">
      <protection hidden="1"/>
    </xf>
    <xf numFmtId="3" fontId="35" fillId="12" borderId="0" xfId="0" applyNumberFormat="1" applyFont="1" applyFill="1" applyAlignment="1" applyProtection="1">
      <alignment horizontal="right"/>
      <protection hidden="1"/>
    </xf>
    <xf numFmtId="0" fontId="67" fillId="0" borderId="85" xfId="0" applyFont="1" applyBorder="1" applyAlignment="1" applyProtection="1">
      <alignment vertical="center"/>
      <protection hidden="1"/>
    </xf>
    <xf numFmtId="0" fontId="67" fillId="0" borderId="86" xfId="0" applyFont="1" applyBorder="1" applyAlignment="1" applyProtection="1">
      <alignment horizontal="left" vertical="center" indent="7"/>
      <protection hidden="1"/>
    </xf>
    <xf numFmtId="0" fontId="68" fillId="0" borderId="86" xfId="0" applyFont="1" applyBorder="1" applyAlignment="1" applyProtection="1">
      <alignment horizontal="right" vertical="center" wrapText="1"/>
      <protection hidden="1"/>
    </xf>
    <xf numFmtId="0" fontId="68" fillId="0" borderId="87" xfId="0" applyFont="1" applyBorder="1" applyAlignment="1" applyProtection="1">
      <alignment horizontal="center" vertical="center" wrapText="1"/>
      <protection hidden="1"/>
    </xf>
    <xf numFmtId="0" fontId="68" fillId="0" borderId="86" xfId="0" applyFont="1" applyBorder="1" applyAlignment="1" applyProtection="1">
      <alignment horizontal="center" vertical="center" wrapText="1"/>
      <protection hidden="1"/>
    </xf>
    <xf numFmtId="0" fontId="1" fillId="0" borderId="0" xfId="0" applyFont="1" applyProtection="1">
      <protection hidden="1"/>
    </xf>
    <xf numFmtId="0" fontId="69" fillId="0" borderId="88" xfId="0" applyFont="1" applyBorder="1" applyAlignment="1" applyProtection="1">
      <alignment vertical="center" wrapText="1"/>
      <protection hidden="1"/>
    </xf>
    <xf numFmtId="0" fontId="70" fillId="0" borderId="89" xfId="0" applyFont="1" applyBorder="1" applyAlignment="1" applyProtection="1">
      <alignment horizontal="center" vertical="center" wrapText="1"/>
      <protection hidden="1"/>
    </xf>
    <xf numFmtId="0" fontId="70" fillId="0" borderId="90" xfId="0" applyFont="1" applyBorder="1" applyAlignment="1" applyProtection="1">
      <alignment horizontal="center" vertical="center" wrapText="1"/>
      <protection hidden="1"/>
    </xf>
    <xf numFmtId="0" fontId="68" fillId="0" borderId="91" xfId="0" applyFont="1" applyBorder="1" applyAlignment="1" applyProtection="1">
      <alignment horizontal="center" vertical="center" wrapText="1"/>
      <protection hidden="1"/>
    </xf>
    <xf numFmtId="0" fontId="68" fillId="0" borderId="92" xfId="0" applyFont="1" applyBorder="1" applyAlignment="1" applyProtection="1">
      <alignment horizontal="center" vertical="center" wrapText="1"/>
      <protection hidden="1"/>
    </xf>
    <xf numFmtId="0" fontId="68" fillId="0" borderId="93" xfId="0" applyFont="1" applyBorder="1" applyAlignment="1" applyProtection="1">
      <alignment horizontal="center" vertical="center" wrapText="1"/>
      <protection hidden="1"/>
    </xf>
    <xf numFmtId="1" fontId="68" fillId="0" borderId="93" xfId="0" applyNumberFormat="1" applyFont="1" applyBorder="1" applyAlignment="1" applyProtection="1">
      <alignment horizontal="center" vertical="center" wrapText="1"/>
      <protection hidden="1"/>
    </xf>
    <xf numFmtId="170" fontId="0" fillId="0" borderId="0" xfId="0" applyNumberFormat="1" applyProtection="1">
      <protection hidden="1"/>
    </xf>
    <xf numFmtId="0" fontId="0" fillId="15" borderId="0" xfId="0" applyFill="1" applyProtection="1">
      <protection hidden="1"/>
    </xf>
    <xf numFmtId="0" fontId="68" fillId="0" borderId="88" xfId="0" applyFont="1" applyBorder="1" applyAlignment="1" applyProtection="1">
      <alignment horizontal="center" vertical="center" wrapText="1"/>
      <protection hidden="1"/>
    </xf>
    <xf numFmtId="0" fontId="68" fillId="0" borderId="89" xfId="0" applyFont="1" applyBorder="1" applyAlignment="1" applyProtection="1">
      <alignment horizontal="center" vertical="center" wrapText="1"/>
      <protection hidden="1"/>
    </xf>
    <xf numFmtId="1" fontId="68" fillId="0" borderId="90" xfId="0" applyNumberFormat="1" applyFont="1" applyBorder="1" applyAlignment="1" applyProtection="1">
      <alignment horizontal="center" vertical="center" wrapText="1"/>
      <protection hidden="1"/>
    </xf>
    <xf numFmtId="0" fontId="71" fillId="19" borderId="91" xfId="0" applyFont="1" applyFill="1" applyBorder="1" applyAlignment="1" applyProtection="1">
      <alignment horizontal="center" vertical="center" wrapText="1"/>
      <protection hidden="1"/>
    </xf>
    <xf numFmtId="0" fontId="71" fillId="19" borderId="92" xfId="0" applyFont="1" applyFill="1" applyBorder="1" applyAlignment="1" applyProtection="1">
      <alignment horizontal="center" vertical="center" wrapText="1"/>
      <protection hidden="1"/>
    </xf>
    <xf numFmtId="1" fontId="71" fillId="19" borderId="93" xfId="0" applyNumberFormat="1" applyFont="1" applyFill="1" applyBorder="1" applyAlignment="1" applyProtection="1">
      <alignment horizontal="center" vertical="center" wrapText="1"/>
      <protection hidden="1"/>
    </xf>
    <xf numFmtId="0" fontId="68" fillId="0" borderId="94" xfId="0" applyFont="1" applyBorder="1" applyAlignment="1" applyProtection="1">
      <alignment horizontal="center" vertical="center" wrapText="1"/>
      <protection hidden="1"/>
    </xf>
    <xf numFmtId="1" fontId="68" fillId="0" borderId="87" xfId="0" applyNumberFormat="1" applyFont="1" applyBorder="1" applyAlignment="1" applyProtection="1">
      <alignment horizontal="center" vertical="center" wrapText="1"/>
      <protection hidden="1"/>
    </xf>
    <xf numFmtId="0" fontId="68" fillId="0" borderId="95" xfId="0" applyFont="1" applyBorder="1" applyAlignment="1" applyProtection="1">
      <alignment horizontal="center" vertical="center" wrapText="1"/>
      <protection hidden="1"/>
    </xf>
    <xf numFmtId="0" fontId="68" fillId="0" borderId="96" xfId="0" applyFont="1" applyBorder="1" applyAlignment="1" applyProtection="1">
      <alignment horizontal="center" vertical="center" wrapText="1"/>
      <protection hidden="1"/>
    </xf>
    <xf numFmtId="1" fontId="68" fillId="0" borderId="97" xfId="0" applyNumberFormat="1" applyFont="1" applyBorder="1" applyAlignment="1" applyProtection="1">
      <alignment horizontal="center" vertical="center" wrapText="1"/>
      <protection hidden="1"/>
    </xf>
    <xf numFmtId="0" fontId="0" fillId="0" borderId="26" xfId="0" applyBorder="1" applyAlignment="1" applyProtection="1">
      <alignment horizontal="left" vertical="center"/>
      <protection hidden="1"/>
    </xf>
    <xf numFmtId="0" fontId="36" fillId="6" borderId="0" xfId="0" applyFont="1" applyFill="1" applyAlignment="1" applyProtection="1">
      <alignment horizontal="left"/>
      <protection locked="0"/>
    </xf>
    <xf numFmtId="0" fontId="36" fillId="9" borderId="0" xfId="0" applyFont="1" applyFill="1" applyAlignment="1" applyProtection="1">
      <alignment horizontal="left"/>
      <protection locked="0"/>
    </xf>
    <xf numFmtId="0" fontId="0" fillId="6" borderId="0" xfId="0" applyFill="1" applyProtection="1">
      <protection locked="0"/>
    </xf>
    <xf numFmtId="9" fontId="36" fillId="9" borderId="0" xfId="0" applyNumberFormat="1" applyFont="1" applyFill="1" applyAlignment="1" applyProtection="1">
      <alignment horizontal="left"/>
      <protection locked="0"/>
    </xf>
    <xf numFmtId="3" fontId="36" fillId="9" borderId="0" xfId="0" applyNumberFormat="1" applyFont="1" applyFill="1" applyAlignment="1" applyProtection="1">
      <alignment horizontal="left"/>
      <protection locked="0"/>
    </xf>
    <xf numFmtId="165" fontId="36" fillId="9" borderId="0" xfId="0" applyNumberFormat="1" applyFont="1" applyFill="1" applyAlignment="1" applyProtection="1">
      <alignment horizontal="left"/>
      <protection locked="0"/>
    </xf>
    <xf numFmtId="4" fontId="36" fillId="9" borderId="0" xfId="0" applyNumberFormat="1" applyFont="1" applyFill="1" applyAlignment="1" applyProtection="1">
      <alignment horizontal="left"/>
      <protection locked="0"/>
    </xf>
    <xf numFmtId="164" fontId="46" fillId="17" borderId="67" xfId="0" applyNumberFormat="1" applyFont="1" applyFill="1" applyBorder="1" applyProtection="1">
      <protection hidden="1"/>
    </xf>
    <xf numFmtId="0" fontId="0" fillId="20" borderId="0" xfId="0" applyFill="1"/>
    <xf numFmtId="0" fontId="0" fillId="20" borderId="0" xfId="0" applyFill="1" applyProtection="1">
      <protection hidden="1"/>
    </xf>
    <xf numFmtId="0" fontId="0" fillId="21" borderId="0" xfId="0" applyFill="1" applyProtection="1">
      <protection hidden="1"/>
    </xf>
    <xf numFmtId="0" fontId="72" fillId="22" borderId="0" xfId="0" applyFont="1" applyFill="1"/>
    <xf numFmtId="0" fontId="0" fillId="22" borderId="0" xfId="0" applyFill="1" applyProtection="1">
      <protection hidden="1"/>
    </xf>
    <xf numFmtId="0" fontId="0" fillId="23" borderId="0" xfId="0" applyFill="1"/>
    <xf numFmtId="0" fontId="0" fillId="23" borderId="0" xfId="0" applyFill="1" applyProtection="1">
      <protection hidden="1"/>
    </xf>
    <xf numFmtId="0" fontId="35" fillId="24" borderId="0" xfId="0" applyFont="1" applyFill="1"/>
    <xf numFmtId="0" fontId="0" fillId="24" borderId="0" xfId="0" applyFill="1" applyProtection="1">
      <protection hidden="1"/>
    </xf>
    <xf numFmtId="0" fontId="73" fillId="25" borderId="0" xfId="0" applyFont="1" applyFill="1" applyAlignment="1">
      <alignment horizontal="center"/>
    </xf>
    <xf numFmtId="0" fontId="0" fillId="25" borderId="0" xfId="0" applyFill="1" applyProtection="1">
      <protection hidden="1"/>
    </xf>
    <xf numFmtId="164" fontId="46" fillId="25" borderId="68" xfId="0" applyNumberFormat="1" applyFont="1" applyFill="1" applyBorder="1" applyProtection="1">
      <protection hidden="1"/>
    </xf>
    <xf numFmtId="164" fontId="46" fillId="25" borderId="67" xfId="0" applyNumberFormat="1" applyFont="1" applyFill="1" applyBorder="1" applyProtection="1">
      <protection hidden="1"/>
    </xf>
    <xf numFmtId="164" fontId="46" fillId="24" borderId="67" xfId="0" applyNumberFormat="1" applyFont="1" applyFill="1" applyBorder="1" applyProtection="1">
      <protection hidden="1"/>
    </xf>
    <xf numFmtId="164" fontId="46" fillId="23" borderId="67" xfId="0" applyNumberFormat="1" applyFont="1" applyFill="1" applyBorder="1" applyProtection="1">
      <protection hidden="1"/>
    </xf>
    <xf numFmtId="164" fontId="46" fillId="22" borderId="67" xfId="0" applyNumberFormat="1" applyFont="1" applyFill="1" applyBorder="1" applyProtection="1">
      <protection hidden="1"/>
    </xf>
    <xf numFmtId="0" fontId="35" fillId="25" borderId="0" xfId="0" applyFont="1" applyFill="1" applyProtection="1">
      <protection hidden="1"/>
    </xf>
    <xf numFmtId="0" fontId="36" fillId="25" borderId="0" xfId="0" applyFont="1" applyFill="1" applyAlignment="1" applyProtection="1">
      <alignment horizontal="left"/>
      <protection hidden="1"/>
    </xf>
    <xf numFmtId="0" fontId="35" fillId="17" borderId="0" xfId="0" applyFont="1" applyFill="1" applyProtection="1">
      <protection hidden="1"/>
    </xf>
    <xf numFmtId="0" fontId="36" fillId="17" borderId="0" xfId="0" applyFont="1" applyFill="1" applyAlignment="1" applyProtection="1">
      <alignment horizontal="left"/>
      <protection hidden="1"/>
    </xf>
    <xf numFmtId="0" fontId="35" fillId="22" borderId="0" xfId="0" applyFont="1" applyFill="1" applyProtection="1">
      <protection hidden="1"/>
    </xf>
    <xf numFmtId="0" fontId="36" fillId="22" borderId="0" xfId="0" applyFont="1" applyFill="1" applyAlignment="1" applyProtection="1">
      <alignment horizontal="left"/>
      <protection hidden="1"/>
    </xf>
    <xf numFmtId="0" fontId="35" fillId="23" borderId="0" xfId="0" applyFont="1" applyFill="1" applyProtection="1">
      <protection hidden="1"/>
    </xf>
    <xf numFmtId="0" fontId="36" fillId="23" borderId="0" xfId="0" applyFont="1" applyFill="1" applyAlignment="1" applyProtection="1">
      <alignment horizontal="left"/>
      <protection hidden="1"/>
    </xf>
    <xf numFmtId="0" fontId="35" fillId="24" borderId="0" xfId="0" applyFont="1" applyFill="1" applyProtection="1">
      <protection hidden="1"/>
    </xf>
    <xf numFmtId="0" fontId="36" fillId="24" borderId="0" xfId="0" applyFont="1" applyFill="1" applyAlignment="1" applyProtection="1">
      <alignment horizontal="left"/>
      <protection hidden="1"/>
    </xf>
    <xf numFmtId="3" fontId="46" fillId="17" borderId="69" xfId="0" applyNumberFormat="1" applyFont="1" applyFill="1" applyBorder="1" applyProtection="1">
      <protection hidden="1"/>
    </xf>
    <xf numFmtId="0" fontId="46" fillId="17" borderId="70" xfId="0" applyFont="1" applyFill="1" applyBorder="1" applyAlignment="1" applyProtection="1">
      <alignment horizontal="right"/>
      <protection hidden="1"/>
    </xf>
    <xf numFmtId="3" fontId="46" fillId="17" borderId="67" xfId="0" applyNumberFormat="1" applyFont="1" applyFill="1" applyBorder="1" applyProtection="1">
      <protection hidden="1"/>
    </xf>
    <xf numFmtId="3" fontId="46" fillId="22" borderId="69" xfId="0" applyNumberFormat="1" applyFont="1" applyFill="1" applyBorder="1" applyProtection="1">
      <protection hidden="1"/>
    </xf>
    <xf numFmtId="0" fontId="46" fillId="22" borderId="70" xfId="0" applyFont="1" applyFill="1" applyBorder="1" applyAlignment="1" applyProtection="1">
      <alignment horizontal="right"/>
      <protection hidden="1"/>
    </xf>
    <xf numFmtId="3" fontId="46" fillId="22" borderId="67" xfId="0" applyNumberFormat="1" applyFont="1" applyFill="1" applyBorder="1" applyProtection="1">
      <protection hidden="1"/>
    </xf>
    <xf numFmtId="3" fontId="46" fillId="23" borderId="69" xfId="0" applyNumberFormat="1" applyFont="1" applyFill="1" applyBorder="1" applyProtection="1">
      <protection hidden="1"/>
    </xf>
    <xf numFmtId="0" fontId="46" fillId="23" borderId="70" xfId="0" applyFont="1" applyFill="1" applyBorder="1" applyAlignment="1" applyProtection="1">
      <alignment horizontal="right"/>
      <protection hidden="1"/>
    </xf>
    <xf numFmtId="3" fontId="46" fillId="23" borderId="67" xfId="0" applyNumberFormat="1" applyFont="1" applyFill="1" applyBorder="1" applyProtection="1">
      <protection hidden="1"/>
    </xf>
    <xf numFmtId="3" fontId="46" fillId="24" borderId="69" xfId="0" applyNumberFormat="1" applyFont="1" applyFill="1" applyBorder="1" applyProtection="1">
      <protection hidden="1"/>
    </xf>
    <xf numFmtId="0" fontId="46" fillId="24" borderId="70" xfId="0" applyFont="1" applyFill="1" applyBorder="1" applyAlignment="1" applyProtection="1">
      <alignment horizontal="right"/>
      <protection hidden="1"/>
    </xf>
    <xf numFmtId="3" fontId="46" fillId="24" borderId="67" xfId="0" applyNumberFormat="1" applyFont="1" applyFill="1" applyBorder="1" applyProtection="1">
      <protection hidden="1"/>
    </xf>
    <xf numFmtId="3" fontId="46" fillId="25" borderId="69" xfId="0" applyNumberFormat="1" applyFont="1" applyFill="1" applyBorder="1" applyProtection="1">
      <protection hidden="1"/>
    </xf>
    <xf numFmtId="0" fontId="46" fillId="25" borderId="70" xfId="0" applyFont="1" applyFill="1" applyBorder="1" applyAlignment="1" applyProtection="1">
      <alignment horizontal="right"/>
      <protection hidden="1"/>
    </xf>
    <xf numFmtId="3" fontId="46" fillId="25" borderId="67" xfId="0" applyNumberFormat="1" applyFont="1" applyFill="1" applyBorder="1" applyProtection="1">
      <protection hidden="1"/>
    </xf>
    <xf numFmtId="0" fontId="74" fillId="17" borderId="0" xfId="0" applyFont="1" applyFill="1" applyProtection="1">
      <protection hidden="1"/>
    </xf>
    <xf numFmtId="0" fontId="75" fillId="20" borderId="0" xfId="0" applyFont="1" applyFill="1" applyProtection="1">
      <protection hidden="1"/>
    </xf>
    <xf numFmtId="0" fontId="74" fillId="21" borderId="0" xfId="0" applyFont="1" applyFill="1" applyProtection="1">
      <protection hidden="1"/>
    </xf>
    <xf numFmtId="0" fontId="74" fillId="22" borderId="0" xfId="0" applyFont="1" applyFill="1" applyProtection="1">
      <protection hidden="1"/>
    </xf>
    <xf numFmtId="0" fontId="74" fillId="23" borderId="0" xfId="0" applyFont="1" applyFill="1" applyProtection="1">
      <protection hidden="1"/>
    </xf>
    <xf numFmtId="0" fontId="74" fillId="24" borderId="0" xfId="0" applyFont="1" applyFill="1" applyProtection="1">
      <protection hidden="1"/>
    </xf>
    <xf numFmtId="0" fontId="74" fillId="25" borderId="0" xfId="0" applyFont="1" applyFill="1" applyProtection="1">
      <protection hidden="1"/>
    </xf>
    <xf numFmtId="0" fontId="76" fillId="21" borderId="0" xfId="0" applyFont="1" applyFill="1" applyAlignment="1" applyProtection="1">
      <alignment horizontal="center"/>
      <protection hidden="1"/>
    </xf>
    <xf numFmtId="0" fontId="75" fillId="21" borderId="0" xfId="0" applyFont="1" applyFill="1" applyProtection="1">
      <protection hidden="1"/>
    </xf>
    <xf numFmtId="0" fontId="77" fillId="21" borderId="0" xfId="0" applyFont="1" applyFill="1" applyProtection="1">
      <protection hidden="1"/>
    </xf>
    <xf numFmtId="0" fontId="78" fillId="21" borderId="0" xfId="0" applyFont="1" applyFill="1" applyProtection="1">
      <protection hidden="1"/>
    </xf>
    <xf numFmtId="0" fontId="79" fillId="21" borderId="0" xfId="0" applyFont="1" applyFill="1" applyProtection="1">
      <protection hidden="1"/>
    </xf>
    <xf numFmtId="0" fontId="80" fillId="21" borderId="0" xfId="0" applyFont="1" applyFill="1" applyProtection="1">
      <protection hidden="1"/>
    </xf>
    <xf numFmtId="0" fontId="81" fillId="21" borderId="0" xfId="0" applyFont="1" applyFill="1" applyProtection="1">
      <protection hidden="1"/>
    </xf>
    <xf numFmtId="0" fontId="75" fillId="21" borderId="0" xfId="0" applyFont="1" applyFill="1" applyAlignment="1" applyProtection="1">
      <alignment horizontal="right"/>
      <protection hidden="1"/>
    </xf>
    <xf numFmtId="0" fontId="81" fillId="21" borderId="0" xfId="0" applyFont="1" applyFill="1" applyAlignment="1" applyProtection="1">
      <alignment horizontal="right"/>
      <protection hidden="1"/>
    </xf>
    <xf numFmtId="0" fontId="0" fillId="0" borderId="0" xfId="0" applyProtection="1">
      <protection locked="0" hidden="1"/>
    </xf>
    <xf numFmtId="3" fontId="36" fillId="0" borderId="0" xfId="0" applyNumberFormat="1" applyFont="1" applyAlignment="1" applyProtection="1">
      <alignment horizontal="right"/>
      <protection hidden="1"/>
    </xf>
    <xf numFmtId="9" fontId="36" fillId="9" borderId="0" xfId="0" applyNumberFormat="1" applyFont="1" applyFill="1" applyAlignment="1">
      <alignment horizontal="left"/>
    </xf>
    <xf numFmtId="0" fontId="46" fillId="25" borderId="0" xfId="0" applyFont="1" applyFill="1" applyAlignment="1" applyProtection="1">
      <alignment horizontal="right"/>
      <protection hidden="1"/>
    </xf>
    <xf numFmtId="2" fontId="46" fillId="25" borderId="0" xfId="0" applyNumberFormat="1" applyFont="1" applyFill="1" applyAlignment="1" applyProtection="1">
      <alignment horizontal="left"/>
      <protection hidden="1"/>
    </xf>
    <xf numFmtId="0" fontId="46" fillId="24" borderId="0" xfId="0" applyFont="1" applyFill="1" applyAlignment="1" applyProtection="1">
      <alignment horizontal="right"/>
      <protection hidden="1"/>
    </xf>
    <xf numFmtId="2" fontId="46" fillId="24" borderId="0" xfId="0" applyNumberFormat="1" applyFont="1" applyFill="1" applyAlignment="1" applyProtection="1">
      <alignment horizontal="left"/>
      <protection hidden="1"/>
    </xf>
    <xf numFmtId="0" fontId="82" fillId="21" borderId="0" xfId="0" applyFont="1" applyFill="1" applyAlignment="1" applyProtection="1">
      <alignment horizontal="right"/>
      <protection hidden="1"/>
    </xf>
    <xf numFmtId="0" fontId="83" fillId="21" borderId="0" xfId="0" applyFont="1" applyFill="1" applyProtection="1">
      <protection hidden="1"/>
    </xf>
    <xf numFmtId="3" fontId="35" fillId="12" borderId="0" xfId="0" applyNumberFormat="1" applyFont="1" applyFill="1" applyAlignment="1" applyProtection="1">
      <alignment horizontal="left"/>
      <protection hidden="1"/>
    </xf>
    <xf numFmtId="0" fontId="1" fillId="15" borderId="0" xfId="0" applyFont="1" applyFill="1" applyAlignment="1" applyProtection="1">
      <alignment horizontal="right"/>
      <protection hidden="1"/>
    </xf>
    <xf numFmtId="0" fontId="0" fillId="0" borderId="1" xfId="0" applyBorder="1" applyAlignment="1" applyProtection="1">
      <alignment horizontal="right"/>
      <protection hidden="1"/>
    </xf>
    <xf numFmtId="165" fontId="36" fillId="9" borderId="0" xfId="0" applyNumberFormat="1" applyFont="1" applyFill="1" applyAlignment="1" applyProtection="1">
      <alignment horizontal="right"/>
      <protection locked="0"/>
    </xf>
    <xf numFmtId="3" fontId="84" fillId="20" borderId="0" xfId="0" applyNumberFormat="1" applyFont="1" applyFill="1" applyAlignment="1" applyProtection="1">
      <alignment horizontal="left"/>
      <protection hidden="1"/>
    </xf>
    <xf numFmtId="0" fontId="36" fillId="20" borderId="0" xfId="0" applyFont="1" applyFill="1" applyAlignment="1" applyProtection="1">
      <alignment horizontal="right"/>
      <protection hidden="1"/>
    </xf>
    <xf numFmtId="0" fontId="42" fillId="20" borderId="0" xfId="0" applyFont="1" applyFill="1" applyAlignment="1" applyProtection="1">
      <alignment horizontal="right"/>
      <protection hidden="1"/>
    </xf>
    <xf numFmtId="0" fontId="36" fillId="20" borderId="0" xfId="0" applyFont="1" applyFill="1" applyProtection="1">
      <protection hidden="1"/>
    </xf>
    <xf numFmtId="0" fontId="36" fillId="17" borderId="0" xfId="0" applyFont="1" applyFill="1" applyAlignment="1" applyProtection="1">
      <alignment horizontal="right"/>
      <protection hidden="1"/>
    </xf>
    <xf numFmtId="0" fontId="42" fillId="17" borderId="0" xfId="0" applyFont="1" applyFill="1" applyAlignment="1" applyProtection="1">
      <alignment horizontal="right"/>
      <protection hidden="1"/>
    </xf>
    <xf numFmtId="0" fontId="36" fillId="22" borderId="0" xfId="0" applyFont="1" applyFill="1" applyAlignment="1" applyProtection="1">
      <alignment horizontal="right"/>
      <protection hidden="1"/>
    </xf>
    <xf numFmtId="0" fontId="58" fillId="22" borderId="0" xfId="0" applyFont="1" applyFill="1" applyAlignment="1" applyProtection="1">
      <alignment horizontal="right"/>
      <protection hidden="1"/>
    </xf>
    <xf numFmtId="0" fontId="36" fillId="23" borderId="0" xfId="0" applyFont="1" applyFill="1" applyAlignment="1" applyProtection="1">
      <alignment horizontal="right"/>
      <protection hidden="1"/>
    </xf>
    <xf numFmtId="0" fontId="36" fillId="24" borderId="0" xfId="0" applyFont="1" applyFill="1" applyAlignment="1" applyProtection="1">
      <alignment horizontal="right"/>
      <protection hidden="1"/>
    </xf>
    <xf numFmtId="0" fontId="42" fillId="24" borderId="0" xfId="0" applyFont="1" applyFill="1" applyAlignment="1" applyProtection="1">
      <alignment horizontal="right"/>
      <protection hidden="1"/>
    </xf>
    <xf numFmtId="0" fontId="36" fillId="25" borderId="0" xfId="0" applyFont="1" applyFill="1" applyAlignment="1" applyProtection="1">
      <alignment horizontal="right"/>
      <protection hidden="1"/>
    </xf>
    <xf numFmtId="0" fontId="42" fillId="25" borderId="0" xfId="0" applyFont="1" applyFill="1" applyAlignment="1" applyProtection="1">
      <alignment horizontal="right"/>
      <protection hidden="1"/>
    </xf>
    <xf numFmtId="0" fontId="36" fillId="25" borderId="0" xfId="0" applyFont="1" applyFill="1" applyProtection="1">
      <protection hidden="1"/>
    </xf>
    <xf numFmtId="3" fontId="46" fillId="17" borderId="69" xfId="0" applyNumberFormat="1" applyFont="1" applyFill="1" applyBorder="1" applyAlignment="1" applyProtection="1">
      <alignment horizontal="right"/>
      <protection hidden="1"/>
    </xf>
    <xf numFmtId="3" fontId="46" fillId="17" borderId="67" xfId="0" applyNumberFormat="1" applyFont="1" applyFill="1" applyBorder="1" applyAlignment="1" applyProtection="1">
      <alignment horizontal="right"/>
      <protection hidden="1"/>
    </xf>
    <xf numFmtId="3" fontId="38" fillId="17" borderId="71" xfId="0" applyNumberFormat="1" applyFont="1" applyFill="1" applyBorder="1" applyAlignment="1" applyProtection="1">
      <alignment horizontal="left"/>
      <protection hidden="1"/>
    </xf>
    <xf numFmtId="9" fontId="38" fillId="17" borderId="72" xfId="0" applyNumberFormat="1" applyFont="1" applyFill="1" applyBorder="1" applyAlignment="1" applyProtection="1">
      <alignment horizontal="left"/>
      <protection hidden="1"/>
    </xf>
    <xf numFmtId="3" fontId="38" fillId="17" borderId="72" xfId="0" applyNumberFormat="1" applyFont="1" applyFill="1" applyBorder="1" applyAlignment="1" applyProtection="1">
      <alignment horizontal="left"/>
      <protection hidden="1"/>
    </xf>
    <xf numFmtId="164" fontId="38" fillId="17" borderId="71" xfId="0" applyNumberFormat="1" applyFont="1" applyFill="1" applyBorder="1" applyAlignment="1" applyProtection="1">
      <alignment horizontal="left"/>
      <protection hidden="1"/>
    </xf>
    <xf numFmtId="164" fontId="38" fillId="17" borderId="72" xfId="0" applyNumberFormat="1" applyFont="1" applyFill="1" applyBorder="1" applyAlignment="1" applyProtection="1">
      <alignment horizontal="left"/>
      <protection hidden="1"/>
    </xf>
    <xf numFmtId="0" fontId="46" fillId="17" borderId="70" xfId="0" applyFont="1" applyFill="1" applyBorder="1" applyProtection="1">
      <protection hidden="1"/>
    </xf>
    <xf numFmtId="164" fontId="46" fillId="17" borderId="73" xfId="0" applyNumberFormat="1" applyFont="1" applyFill="1" applyBorder="1" applyAlignment="1" applyProtection="1">
      <alignment horizontal="right"/>
      <protection hidden="1"/>
    </xf>
    <xf numFmtId="3" fontId="46" fillId="17" borderId="73" xfId="0" applyNumberFormat="1" applyFont="1" applyFill="1" applyBorder="1" applyAlignment="1" applyProtection="1">
      <alignment horizontal="right"/>
      <protection hidden="1"/>
    </xf>
    <xf numFmtId="3" fontId="46" fillId="22" borderId="70" xfId="0" applyNumberFormat="1" applyFont="1" applyFill="1" applyBorder="1" applyAlignment="1" applyProtection="1">
      <alignment horizontal="right"/>
      <protection hidden="1"/>
    </xf>
    <xf numFmtId="3" fontId="46" fillId="22" borderId="73" xfId="0" applyNumberFormat="1" applyFont="1" applyFill="1" applyBorder="1" applyAlignment="1" applyProtection="1">
      <alignment horizontal="right"/>
      <protection hidden="1"/>
    </xf>
    <xf numFmtId="3" fontId="38" fillId="22" borderId="71" xfId="0" applyNumberFormat="1" applyFont="1" applyFill="1" applyBorder="1" applyAlignment="1" applyProtection="1">
      <alignment horizontal="left"/>
      <protection hidden="1"/>
    </xf>
    <xf numFmtId="9" fontId="38" fillId="22" borderId="72" xfId="0" applyNumberFormat="1" applyFont="1" applyFill="1" applyBorder="1" applyAlignment="1" applyProtection="1">
      <alignment horizontal="left"/>
      <protection hidden="1"/>
    </xf>
    <xf numFmtId="3" fontId="38" fillId="22" borderId="72" xfId="0" applyNumberFormat="1" applyFont="1" applyFill="1" applyBorder="1" applyAlignment="1" applyProtection="1">
      <alignment horizontal="left"/>
      <protection hidden="1"/>
    </xf>
    <xf numFmtId="0" fontId="46" fillId="22" borderId="70" xfId="0" applyFont="1" applyFill="1" applyBorder="1" applyProtection="1">
      <protection hidden="1"/>
    </xf>
    <xf numFmtId="164" fontId="38" fillId="22" borderId="71" xfId="0" applyNumberFormat="1" applyFont="1" applyFill="1" applyBorder="1" applyAlignment="1" applyProtection="1">
      <alignment horizontal="left"/>
      <protection hidden="1"/>
    </xf>
    <xf numFmtId="164" fontId="38" fillId="22" borderId="72" xfId="0" applyNumberFormat="1" applyFont="1" applyFill="1" applyBorder="1" applyAlignment="1" applyProtection="1">
      <alignment horizontal="left"/>
      <protection hidden="1"/>
    </xf>
    <xf numFmtId="164" fontId="46" fillId="22" borderId="73" xfId="0" applyNumberFormat="1" applyFont="1" applyFill="1" applyBorder="1" applyAlignment="1" applyProtection="1">
      <alignment horizontal="right"/>
      <protection hidden="1"/>
    </xf>
    <xf numFmtId="3" fontId="46" fillId="23" borderId="70" xfId="0" applyNumberFormat="1" applyFont="1" applyFill="1" applyBorder="1" applyAlignment="1" applyProtection="1">
      <alignment horizontal="right"/>
      <protection hidden="1"/>
    </xf>
    <xf numFmtId="3" fontId="46" fillId="23" borderId="73" xfId="0" applyNumberFormat="1" applyFont="1" applyFill="1" applyBorder="1" applyAlignment="1" applyProtection="1">
      <alignment horizontal="right"/>
      <protection hidden="1"/>
    </xf>
    <xf numFmtId="164" fontId="46" fillId="23" borderId="73" xfId="0" applyNumberFormat="1" applyFont="1" applyFill="1" applyBorder="1" applyAlignment="1" applyProtection="1">
      <alignment horizontal="right"/>
      <protection hidden="1"/>
    </xf>
    <xf numFmtId="3" fontId="38" fillId="23" borderId="71" xfId="0" applyNumberFormat="1" applyFont="1" applyFill="1" applyBorder="1" applyAlignment="1" applyProtection="1">
      <alignment horizontal="left"/>
      <protection hidden="1"/>
    </xf>
    <xf numFmtId="9" fontId="38" fillId="23" borderId="72" xfId="0" applyNumberFormat="1" applyFont="1" applyFill="1" applyBorder="1" applyAlignment="1" applyProtection="1">
      <alignment horizontal="left"/>
      <protection hidden="1"/>
    </xf>
    <xf numFmtId="3" fontId="38" fillId="23" borderId="72" xfId="0" applyNumberFormat="1" applyFont="1" applyFill="1" applyBorder="1" applyAlignment="1" applyProtection="1">
      <alignment horizontal="left"/>
      <protection hidden="1"/>
    </xf>
    <xf numFmtId="164" fontId="38" fillId="23" borderId="71" xfId="0" applyNumberFormat="1" applyFont="1" applyFill="1" applyBorder="1" applyAlignment="1" applyProtection="1">
      <alignment horizontal="left"/>
      <protection hidden="1"/>
    </xf>
    <xf numFmtId="164" fontId="38" fillId="23" borderId="72" xfId="0" applyNumberFormat="1" applyFont="1" applyFill="1" applyBorder="1" applyAlignment="1" applyProtection="1">
      <alignment horizontal="left"/>
      <protection hidden="1"/>
    </xf>
    <xf numFmtId="3" fontId="46" fillId="24" borderId="70" xfId="0" applyNumberFormat="1" applyFont="1" applyFill="1" applyBorder="1" applyAlignment="1" applyProtection="1">
      <alignment horizontal="right"/>
      <protection hidden="1"/>
    </xf>
    <xf numFmtId="3" fontId="46" fillId="24" borderId="73" xfId="0" applyNumberFormat="1" applyFont="1" applyFill="1" applyBorder="1" applyAlignment="1" applyProtection="1">
      <alignment horizontal="right"/>
      <protection hidden="1"/>
    </xf>
    <xf numFmtId="3" fontId="38" fillId="24" borderId="71" xfId="0" applyNumberFormat="1" applyFont="1" applyFill="1" applyBorder="1" applyAlignment="1" applyProtection="1">
      <alignment horizontal="left"/>
      <protection hidden="1"/>
    </xf>
    <xf numFmtId="9" fontId="38" fillId="24" borderId="72" xfId="0" applyNumberFormat="1" applyFont="1" applyFill="1" applyBorder="1" applyAlignment="1" applyProtection="1">
      <alignment horizontal="left"/>
      <protection hidden="1"/>
    </xf>
    <xf numFmtId="3" fontId="38" fillId="24" borderId="72" xfId="0" applyNumberFormat="1" applyFont="1" applyFill="1" applyBorder="1" applyAlignment="1" applyProtection="1">
      <alignment horizontal="left"/>
      <protection hidden="1"/>
    </xf>
    <xf numFmtId="0" fontId="46" fillId="24" borderId="70" xfId="0" applyFont="1" applyFill="1" applyBorder="1" applyProtection="1">
      <protection hidden="1"/>
    </xf>
    <xf numFmtId="164" fontId="46" fillId="24" borderId="73" xfId="0" applyNumberFormat="1" applyFont="1" applyFill="1" applyBorder="1" applyAlignment="1" applyProtection="1">
      <alignment horizontal="right"/>
      <protection hidden="1"/>
    </xf>
    <xf numFmtId="164" fontId="38" fillId="24" borderId="71" xfId="0" applyNumberFormat="1" applyFont="1" applyFill="1" applyBorder="1" applyAlignment="1" applyProtection="1">
      <alignment horizontal="left"/>
      <protection hidden="1"/>
    </xf>
    <xf numFmtId="164" fontId="38" fillId="24" borderId="72" xfId="0" applyNumberFormat="1" applyFont="1" applyFill="1" applyBorder="1" applyAlignment="1" applyProtection="1">
      <alignment horizontal="left"/>
      <protection hidden="1"/>
    </xf>
    <xf numFmtId="3" fontId="38" fillId="25" borderId="71" xfId="0" applyNumberFormat="1" applyFont="1" applyFill="1" applyBorder="1" applyAlignment="1" applyProtection="1">
      <alignment horizontal="left"/>
      <protection hidden="1"/>
    </xf>
    <xf numFmtId="9" fontId="38" fillId="25" borderId="72" xfId="0" applyNumberFormat="1" applyFont="1" applyFill="1" applyBorder="1" applyAlignment="1" applyProtection="1">
      <alignment horizontal="left"/>
      <protection hidden="1"/>
    </xf>
    <xf numFmtId="3" fontId="46" fillId="25" borderId="70" xfId="0" applyNumberFormat="1" applyFont="1" applyFill="1" applyBorder="1" applyAlignment="1" applyProtection="1">
      <alignment horizontal="right"/>
      <protection hidden="1"/>
    </xf>
    <xf numFmtId="3" fontId="46" fillId="25" borderId="73" xfId="0" applyNumberFormat="1" applyFont="1" applyFill="1" applyBorder="1" applyAlignment="1" applyProtection="1">
      <alignment horizontal="right"/>
      <protection hidden="1"/>
    </xf>
    <xf numFmtId="3" fontId="38" fillId="25" borderId="72" xfId="0" applyNumberFormat="1" applyFont="1" applyFill="1" applyBorder="1" applyAlignment="1" applyProtection="1">
      <alignment horizontal="left"/>
      <protection hidden="1"/>
    </xf>
    <xf numFmtId="164" fontId="46" fillId="25" borderId="73" xfId="0" applyNumberFormat="1" applyFont="1" applyFill="1" applyBorder="1" applyAlignment="1" applyProtection="1">
      <alignment horizontal="right"/>
      <protection hidden="1"/>
    </xf>
    <xf numFmtId="164" fontId="38" fillId="25" borderId="71" xfId="0" applyNumberFormat="1" applyFont="1" applyFill="1" applyBorder="1" applyAlignment="1" applyProtection="1">
      <alignment horizontal="left"/>
      <protection hidden="1"/>
    </xf>
    <xf numFmtId="164" fontId="38" fillId="25" borderId="72" xfId="0" applyNumberFormat="1" applyFont="1" applyFill="1" applyBorder="1" applyAlignment="1" applyProtection="1">
      <alignment horizontal="left"/>
      <protection hidden="1"/>
    </xf>
    <xf numFmtId="0" fontId="86" fillId="21" borderId="0" xfId="0" applyFont="1" applyFill="1" applyProtection="1">
      <protection hidden="1"/>
    </xf>
    <xf numFmtId="0" fontId="0" fillId="21" borderId="0" xfId="0" applyFill="1" applyAlignment="1" applyProtection="1">
      <alignment horizontal="right"/>
      <protection hidden="1"/>
    </xf>
    <xf numFmtId="0" fontId="36" fillId="7" borderId="0" xfId="0" applyFont="1" applyFill="1" applyAlignment="1" applyProtection="1">
      <alignment horizontal="left"/>
      <protection locked="0"/>
    </xf>
    <xf numFmtId="0" fontId="36" fillId="7" borderId="0" xfId="0" applyFont="1" applyFill="1" applyAlignment="1" applyProtection="1">
      <alignment horizontal="left"/>
      <protection locked="0" hidden="1"/>
    </xf>
    <xf numFmtId="0" fontId="0" fillId="0" borderId="51" xfId="0" applyBorder="1" applyAlignment="1" applyProtection="1">
      <alignment horizontal="center"/>
      <protection hidden="1"/>
    </xf>
    <xf numFmtId="0" fontId="0" fillId="0" borderId="5" xfId="0" applyBorder="1" applyAlignment="1" applyProtection="1">
      <alignment horizontal="center"/>
      <protection hidden="1"/>
    </xf>
    <xf numFmtId="0" fontId="0" fillId="0" borderId="62" xfId="0" applyBorder="1" applyAlignment="1" applyProtection="1">
      <alignment horizontal="center"/>
      <protection hidden="1"/>
    </xf>
    <xf numFmtId="0" fontId="0" fillId="12" borderId="23" xfId="0" applyFill="1" applyBorder="1" applyAlignment="1" applyProtection="1">
      <alignment horizontal="center"/>
      <protection hidden="1"/>
    </xf>
    <xf numFmtId="0" fontId="0" fillId="12" borderId="24" xfId="0" applyFill="1" applyBorder="1" applyAlignment="1" applyProtection="1">
      <alignment horizontal="center"/>
      <protection hidden="1"/>
    </xf>
    <xf numFmtId="0" fontId="0" fillId="12" borderId="25" xfId="0" applyFill="1" applyBorder="1" applyAlignment="1" applyProtection="1">
      <alignment horizontal="center"/>
      <protection hidden="1"/>
    </xf>
    <xf numFmtId="0" fontId="16" fillId="12" borderId="55" xfId="0" applyFont="1" applyFill="1" applyBorder="1" applyAlignment="1" applyProtection="1">
      <alignment horizontal="center" vertical="center" wrapText="1"/>
      <protection hidden="1"/>
    </xf>
    <xf numFmtId="0" fontId="16" fillId="12" borderId="40" xfId="0" applyFont="1" applyFill="1" applyBorder="1" applyAlignment="1" applyProtection="1">
      <alignment horizontal="center" vertical="center" wrapText="1"/>
      <protection hidden="1"/>
    </xf>
    <xf numFmtId="0" fontId="16" fillId="12" borderId="56" xfId="0" applyFont="1" applyFill="1" applyBorder="1" applyAlignment="1" applyProtection="1">
      <alignment horizontal="center" vertical="center" wrapText="1"/>
      <protection hidden="1"/>
    </xf>
    <xf numFmtId="0" fontId="16" fillId="12" borderId="26" xfId="0" applyFont="1" applyFill="1" applyBorder="1" applyAlignment="1" applyProtection="1">
      <alignment horizontal="center" vertical="center" wrapText="1"/>
      <protection hidden="1"/>
    </xf>
    <xf numFmtId="0" fontId="36" fillId="12" borderId="18" xfId="0" applyFont="1" applyFill="1" applyBorder="1" applyAlignment="1" applyProtection="1">
      <alignment horizontal="center" wrapText="1"/>
      <protection hidden="1"/>
    </xf>
    <xf numFmtId="0" fontId="36" fillId="12" borderId="20" xfId="0" applyFont="1" applyFill="1" applyBorder="1" applyAlignment="1" applyProtection="1">
      <alignment horizontal="center" wrapText="1"/>
      <protection hidden="1"/>
    </xf>
    <xf numFmtId="0" fontId="36" fillId="12" borderId="27" xfId="0" applyFont="1" applyFill="1" applyBorder="1" applyAlignment="1" applyProtection="1">
      <alignment horizontal="center" wrapText="1"/>
      <protection hidden="1"/>
    </xf>
    <xf numFmtId="0" fontId="36" fillId="12" borderId="28" xfId="0" applyFont="1" applyFill="1" applyBorder="1" applyAlignment="1" applyProtection="1">
      <alignment horizontal="center" wrapText="1"/>
      <protection hidden="1"/>
    </xf>
    <xf numFmtId="0" fontId="36" fillId="7" borderId="23" xfId="0" applyFont="1" applyFill="1" applyBorder="1" applyAlignment="1" applyProtection="1">
      <alignment horizontal="center"/>
      <protection hidden="1"/>
    </xf>
    <xf numFmtId="0" fontId="36" fillId="7" borderId="24" xfId="0" applyFont="1" applyFill="1" applyBorder="1" applyAlignment="1" applyProtection="1">
      <alignment horizontal="center"/>
      <protection hidden="1"/>
    </xf>
    <xf numFmtId="0" fontId="36" fillId="7" borderId="25" xfId="0" applyFont="1" applyFill="1" applyBorder="1" applyAlignment="1" applyProtection="1">
      <alignment horizontal="center"/>
      <protection hidden="1"/>
    </xf>
    <xf numFmtId="0" fontId="16" fillId="12" borderId="38" xfId="0" applyFont="1" applyFill="1" applyBorder="1" applyAlignment="1" applyProtection="1">
      <alignment horizontal="center" vertical="center" wrapText="1"/>
      <protection hidden="1"/>
    </xf>
    <xf numFmtId="0" fontId="0" fillId="12" borderId="39" xfId="0" applyFill="1" applyBorder="1" applyAlignment="1" applyProtection="1">
      <alignment horizontal="center" vertical="center" wrapText="1"/>
      <protection hidden="1"/>
    </xf>
    <xf numFmtId="0" fontId="0" fillId="12" borderId="75" xfId="0" applyFill="1" applyBorder="1" applyAlignment="1" applyProtection="1">
      <alignment horizontal="center"/>
      <protection hidden="1"/>
    </xf>
    <xf numFmtId="0" fontId="0" fillId="12" borderId="76" xfId="0" applyFill="1" applyBorder="1" applyAlignment="1" applyProtection="1">
      <alignment horizontal="center"/>
      <protection hidden="1"/>
    </xf>
    <xf numFmtId="0" fontId="36" fillId="12" borderId="75" xfId="0" applyFont="1" applyFill="1" applyBorder="1" applyAlignment="1" applyProtection="1">
      <alignment horizontal="center"/>
      <protection hidden="1"/>
    </xf>
    <xf numFmtId="0" fontId="36" fillId="12" borderId="81" xfId="0" applyFont="1" applyFill="1" applyBorder="1" applyAlignment="1" applyProtection="1">
      <alignment horizontal="center"/>
      <protection hidden="1"/>
    </xf>
    <xf numFmtId="0" fontId="36" fillId="12" borderId="76" xfId="0" applyFont="1" applyFill="1" applyBorder="1" applyAlignment="1" applyProtection="1">
      <alignment horizontal="center"/>
      <protection hidden="1"/>
    </xf>
    <xf numFmtId="0" fontId="0" fillId="12" borderId="55" xfId="0" applyFill="1" applyBorder="1" applyAlignment="1" applyProtection="1">
      <alignment horizontal="center"/>
      <protection hidden="1"/>
    </xf>
    <xf numFmtId="0" fontId="0" fillId="12" borderId="38" xfId="0" applyFill="1" applyBorder="1" applyAlignment="1" applyProtection="1">
      <alignment horizontal="center"/>
      <protection hidden="1"/>
    </xf>
    <xf numFmtId="0" fontId="0" fillId="0" borderId="0" xfId="0" applyAlignment="1" applyProtection="1">
      <alignment horizontal="center"/>
      <protection hidden="1"/>
    </xf>
    <xf numFmtId="0" fontId="36" fillId="12" borderId="78" xfId="0" applyFont="1" applyFill="1" applyBorder="1" applyAlignment="1" applyProtection="1">
      <alignment horizontal="left"/>
      <protection hidden="1"/>
    </xf>
    <xf numFmtId="0" fontId="36" fillId="12" borderId="31" xfId="0" applyFont="1" applyFill="1" applyBorder="1" applyAlignment="1" applyProtection="1">
      <alignment horizontal="left"/>
      <protection hidden="1"/>
    </xf>
    <xf numFmtId="0" fontId="0" fillId="12" borderId="55" xfId="0" applyFill="1" applyBorder="1" applyAlignment="1" applyProtection="1">
      <alignment horizontal="left"/>
      <protection hidden="1"/>
    </xf>
    <xf numFmtId="0" fontId="0" fillId="12" borderId="56" xfId="0" applyFill="1" applyBorder="1" applyAlignment="1" applyProtection="1">
      <alignment horizontal="left"/>
      <protection hidden="1"/>
    </xf>
    <xf numFmtId="0" fontId="0" fillId="12" borderId="10" xfId="0" applyFill="1" applyBorder="1" applyAlignment="1" applyProtection="1">
      <alignment horizontal="center" wrapText="1"/>
      <protection hidden="1"/>
    </xf>
    <xf numFmtId="0" fontId="0" fillId="12" borderId="13" xfId="0" applyFill="1" applyBorder="1" applyAlignment="1" applyProtection="1">
      <alignment horizontal="center" wrapText="1"/>
      <protection hidden="1"/>
    </xf>
    <xf numFmtId="0" fontId="0" fillId="0" borderId="21" xfId="0" applyBorder="1" applyAlignment="1" applyProtection="1">
      <alignment horizontal="center"/>
      <protection hidden="1"/>
    </xf>
    <xf numFmtId="0" fontId="0" fillId="12" borderId="83" xfId="0" applyFill="1" applyBorder="1" applyAlignment="1" applyProtection="1">
      <alignment horizontal="left"/>
      <protection hidden="1"/>
    </xf>
    <xf numFmtId="0" fontId="0" fillId="12" borderId="49" xfId="0" applyFill="1" applyBorder="1" applyAlignment="1" applyProtection="1">
      <alignment horizontal="left"/>
      <protection hidden="1"/>
    </xf>
    <xf numFmtId="0" fontId="0" fillId="12" borderId="29" xfId="0" applyFill="1" applyBorder="1" applyAlignment="1" applyProtection="1">
      <alignment horizontal="left"/>
      <protection hidden="1"/>
    </xf>
    <xf numFmtId="0" fontId="0" fillId="12" borderId="43" xfId="0" applyFill="1" applyBorder="1" applyAlignment="1" applyProtection="1">
      <alignment horizontal="left"/>
      <protection hidden="1"/>
    </xf>
    <xf numFmtId="0" fontId="0" fillId="0" borderId="19" xfId="0" applyBorder="1" applyAlignment="1" applyProtection="1">
      <alignment horizontal="center" wrapText="1"/>
      <protection hidden="1"/>
    </xf>
    <xf numFmtId="0" fontId="0" fillId="0" borderId="0" xfId="0" applyAlignment="1" applyProtection="1">
      <alignment horizontal="center" wrapText="1"/>
      <protection hidden="1"/>
    </xf>
    <xf numFmtId="0" fontId="0" fillId="0" borderId="4" xfId="0" applyBorder="1" applyAlignment="1" applyProtection="1">
      <alignment horizontal="center" wrapText="1"/>
      <protection hidden="1"/>
    </xf>
    <xf numFmtId="0" fontId="0" fillId="12" borderId="82" xfId="0" applyFill="1" applyBorder="1" applyAlignment="1" applyProtection="1">
      <alignment horizontal="left"/>
      <protection hidden="1"/>
    </xf>
    <xf numFmtId="0" fontId="0" fillId="12" borderId="44" xfId="0" applyFill="1" applyBorder="1" applyAlignment="1" applyProtection="1">
      <alignment horizontal="left"/>
      <protection hidden="1"/>
    </xf>
    <xf numFmtId="0" fontId="58" fillId="12" borderId="78" xfId="0" applyFont="1" applyFill="1" applyBorder="1" applyAlignment="1" applyProtection="1">
      <alignment horizontal="left"/>
      <protection hidden="1"/>
    </xf>
    <xf numFmtId="0" fontId="58" fillId="12" borderId="31" xfId="0" applyFont="1" applyFill="1" applyBorder="1" applyAlignment="1" applyProtection="1">
      <alignment horizontal="left"/>
      <protection hidden="1"/>
    </xf>
    <xf numFmtId="0" fontId="0" fillId="12" borderId="79" xfId="0" applyFill="1" applyBorder="1" applyAlignment="1" applyProtection="1">
      <alignment horizontal="left"/>
      <protection hidden="1"/>
    </xf>
    <xf numFmtId="0" fontId="0" fillId="12" borderId="36" xfId="0" applyFill="1" applyBorder="1" applyAlignment="1" applyProtection="1">
      <alignment horizontal="left"/>
      <protection hidden="1"/>
    </xf>
    <xf numFmtId="0" fontId="36" fillId="12" borderId="55" xfId="0" applyFont="1" applyFill="1" applyBorder="1" applyAlignment="1" applyProtection="1">
      <alignment horizontal="left"/>
      <protection hidden="1"/>
    </xf>
    <xf numFmtId="0" fontId="36" fillId="12" borderId="56" xfId="0" applyFont="1" applyFill="1" applyBorder="1" applyAlignment="1" applyProtection="1">
      <alignment horizontal="left"/>
      <protection hidden="1"/>
    </xf>
    <xf numFmtId="0" fontId="0" fillId="12" borderId="40" xfId="0" applyFill="1" applyBorder="1" applyAlignment="1" applyProtection="1">
      <alignment horizontal="left"/>
      <protection hidden="1"/>
    </xf>
    <xf numFmtId="0" fontId="0" fillId="12" borderId="26" xfId="0" applyFill="1" applyBorder="1" applyAlignment="1" applyProtection="1">
      <alignment horizontal="left"/>
      <protection hidden="1"/>
    </xf>
    <xf numFmtId="0" fontId="0" fillId="12" borderId="84" xfId="0" applyFill="1" applyBorder="1" applyAlignment="1" applyProtection="1">
      <alignment horizontal="left"/>
      <protection hidden="1"/>
    </xf>
    <xf numFmtId="0" fontId="0" fillId="12" borderId="46" xfId="0" applyFill="1" applyBorder="1" applyAlignment="1" applyProtection="1">
      <alignment horizontal="left"/>
      <protection hidden="1"/>
    </xf>
    <xf numFmtId="0" fontId="0" fillId="12" borderId="80" xfId="0" applyFill="1" applyBorder="1" applyAlignment="1" applyProtection="1">
      <alignment horizontal="left"/>
      <protection hidden="1"/>
    </xf>
    <xf numFmtId="0" fontId="0" fillId="12" borderId="41" xfId="0" applyFill="1" applyBorder="1" applyAlignment="1" applyProtection="1">
      <alignment horizontal="left"/>
      <protection hidden="1"/>
    </xf>
    <xf numFmtId="0" fontId="0" fillId="0" borderId="20" xfId="0" applyBorder="1" applyAlignment="1" applyProtection="1">
      <alignment horizontal="center" wrapText="1"/>
      <protection hidden="1"/>
    </xf>
    <xf numFmtId="0" fontId="0" fillId="0" borderId="22" xfId="0" applyBorder="1" applyAlignment="1" applyProtection="1">
      <alignment horizontal="center" wrapText="1"/>
      <protection hidden="1"/>
    </xf>
    <xf numFmtId="0" fontId="0" fillId="0" borderId="77" xfId="0" applyBorder="1" applyAlignment="1" applyProtection="1">
      <alignment horizontal="center" wrapText="1"/>
      <protection hidden="1"/>
    </xf>
    <xf numFmtId="0" fontId="0" fillId="0" borderId="74" xfId="0" applyBorder="1" applyAlignment="1" applyProtection="1">
      <alignment horizontal="center" wrapText="1"/>
      <protection hidden="1"/>
    </xf>
    <xf numFmtId="0" fontId="0" fillId="0" borderId="18" xfId="0" applyBorder="1" applyAlignment="1" applyProtection="1">
      <alignment horizontal="center"/>
      <protection hidden="1"/>
    </xf>
    <xf numFmtId="0" fontId="0" fillId="0" borderId="20" xfId="0" applyBorder="1" applyAlignment="1" applyProtection="1">
      <alignment horizontal="center"/>
      <protection hidden="1"/>
    </xf>
    <xf numFmtId="0" fontId="41" fillId="0" borderId="0" xfId="0" applyFont="1" applyAlignment="1" applyProtection="1">
      <alignment horizontal="left" vertical="top" wrapText="1"/>
      <protection hidden="1"/>
    </xf>
    <xf numFmtId="0" fontId="41" fillId="0" borderId="21" xfId="0" applyFont="1" applyBorder="1" applyAlignment="1" applyProtection="1">
      <alignment horizontal="left" vertical="top" wrapText="1"/>
      <protection hidden="1"/>
    </xf>
    <xf numFmtId="0" fontId="36" fillId="5" borderId="18" xfId="0" applyFont="1" applyFill="1" applyBorder="1" applyAlignment="1" applyProtection="1">
      <alignment horizontal="center" wrapText="1"/>
      <protection hidden="1"/>
    </xf>
    <xf numFmtId="0" fontId="36" fillId="5" borderId="20" xfId="0" applyFont="1" applyFill="1" applyBorder="1" applyAlignment="1" applyProtection="1">
      <alignment horizontal="center" wrapText="1"/>
      <protection hidden="1"/>
    </xf>
    <xf numFmtId="0" fontId="36" fillId="5" borderId="27" xfId="0" applyFont="1" applyFill="1" applyBorder="1" applyAlignment="1" applyProtection="1">
      <alignment horizontal="center" wrapText="1"/>
      <protection hidden="1"/>
    </xf>
    <xf numFmtId="0" fontId="36" fillId="5" borderId="28" xfId="0" applyFont="1" applyFill="1" applyBorder="1" applyAlignment="1" applyProtection="1">
      <alignment horizontal="center" wrapText="1"/>
      <protection hidden="1"/>
    </xf>
    <xf numFmtId="0" fontId="8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K$9" noThreeD="1"/>
</file>

<file path=xl/ctrlProps/ctrlProp10.xml><?xml version="1.0" encoding="utf-8"?>
<formControlPr xmlns="http://schemas.microsoft.com/office/spreadsheetml/2009/9/main" objectType="CheckBox" checked="Checked" fmlaLink="$K$154" noThreeD="1"/>
</file>

<file path=xl/ctrlProps/ctrlProp11.xml><?xml version="1.0" encoding="utf-8"?>
<formControlPr xmlns="http://schemas.microsoft.com/office/spreadsheetml/2009/9/main" objectType="CheckBox" fmlaLink="$K$155" noThreeD="1"/>
</file>

<file path=xl/ctrlProps/ctrlProp12.xml><?xml version="1.0" encoding="utf-8"?>
<formControlPr xmlns="http://schemas.microsoft.com/office/spreadsheetml/2009/9/main" objectType="CheckBox" fmlaLink="$K$140" noThreeD="1"/>
</file>

<file path=xl/ctrlProps/ctrlProp13.xml><?xml version="1.0" encoding="utf-8"?>
<formControlPr xmlns="http://schemas.microsoft.com/office/spreadsheetml/2009/9/main" objectType="CheckBox" fmlaLink="$K$140" noThreeD="1"/>
</file>

<file path=xl/ctrlProps/ctrlProp14.xml><?xml version="1.0" encoding="utf-8"?>
<formControlPr xmlns="http://schemas.microsoft.com/office/spreadsheetml/2009/9/main" objectType="CheckBox" fmlaLink="$K$140" noThreeD="1"/>
</file>

<file path=xl/ctrlProps/ctrlProp15.xml><?xml version="1.0" encoding="utf-8"?>
<formControlPr xmlns="http://schemas.microsoft.com/office/spreadsheetml/2009/9/main" objectType="CheckBox" checked="Checked" fmlaLink="$K$139" noThreeD="1"/>
</file>

<file path=xl/ctrlProps/ctrlProp16.xml><?xml version="1.0" encoding="utf-8"?>
<formControlPr xmlns="http://schemas.microsoft.com/office/spreadsheetml/2009/9/main" objectType="CheckBox" fmlaLink="$K$138" noThreeD="1"/>
</file>

<file path=xl/ctrlProps/ctrlProp2.xml><?xml version="1.0" encoding="utf-8"?>
<formControlPr xmlns="http://schemas.microsoft.com/office/spreadsheetml/2009/9/main" objectType="CheckBox" fmlaLink="$K$10" noThreeD="1"/>
</file>

<file path=xl/ctrlProps/ctrlProp3.xml><?xml version="1.0" encoding="utf-8"?>
<formControlPr xmlns="http://schemas.microsoft.com/office/spreadsheetml/2009/9/main" objectType="CheckBox" fmlaLink="$K$11" lockText="1" noThreeD="1"/>
</file>

<file path=xl/ctrlProps/ctrlProp4.xml><?xml version="1.0" encoding="utf-8"?>
<formControlPr xmlns="http://schemas.microsoft.com/office/spreadsheetml/2009/9/main" objectType="CheckBox" fmlaLink="$K$12" noThreeD="1"/>
</file>

<file path=xl/ctrlProps/ctrlProp5.xml><?xml version="1.0" encoding="utf-8"?>
<formControlPr xmlns="http://schemas.microsoft.com/office/spreadsheetml/2009/9/main" objectType="CheckBox" fmlaLink="$K$140" noThreeD="1"/>
</file>

<file path=xl/ctrlProps/ctrlProp6.xml><?xml version="1.0" encoding="utf-8"?>
<formControlPr xmlns="http://schemas.microsoft.com/office/spreadsheetml/2009/9/main" objectType="CheckBox" fmlaLink="$K$141" noThreeD="1"/>
</file>

<file path=xl/ctrlProps/ctrlProp7.xml><?xml version="1.0" encoding="utf-8"?>
<formControlPr xmlns="http://schemas.microsoft.com/office/spreadsheetml/2009/9/main" objectType="CheckBox" fmlaLink="$K$151" noThreeD="1"/>
</file>

<file path=xl/ctrlProps/ctrlProp8.xml><?xml version="1.0" encoding="utf-8"?>
<formControlPr xmlns="http://schemas.microsoft.com/office/spreadsheetml/2009/9/main" objectType="CheckBox" fmlaLink="$K$152" noThreeD="1"/>
</file>

<file path=xl/ctrlProps/ctrlProp9.xml><?xml version="1.0" encoding="utf-8"?>
<formControlPr xmlns="http://schemas.microsoft.com/office/spreadsheetml/2009/9/main" objectType="CheckBox" fmlaLink="$K$15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7</xdr:row>
          <xdr:rowOff>198120</xdr:rowOff>
        </xdr:from>
        <xdr:to>
          <xdr:col>2</xdr:col>
          <xdr:colOff>144780</xdr:colOff>
          <xdr:row>8</xdr:row>
          <xdr:rowOff>220980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5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198120</xdr:rowOff>
        </xdr:from>
        <xdr:to>
          <xdr:col>2</xdr:col>
          <xdr:colOff>182880</xdr:colOff>
          <xdr:row>9</xdr:row>
          <xdr:rowOff>220980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5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198120</xdr:rowOff>
        </xdr:from>
        <xdr:to>
          <xdr:col>2</xdr:col>
          <xdr:colOff>167640</xdr:colOff>
          <xdr:row>10</xdr:row>
          <xdr:rowOff>220980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5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198120</xdr:rowOff>
        </xdr:from>
        <xdr:to>
          <xdr:col>2</xdr:col>
          <xdr:colOff>182880</xdr:colOff>
          <xdr:row>11</xdr:row>
          <xdr:rowOff>220980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5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138</xdr:row>
          <xdr:rowOff>198120</xdr:rowOff>
        </xdr:from>
        <xdr:to>
          <xdr:col>2</xdr:col>
          <xdr:colOff>167640</xdr:colOff>
          <xdr:row>140</xdr:row>
          <xdr:rowOff>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5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139</xdr:row>
          <xdr:rowOff>198120</xdr:rowOff>
        </xdr:from>
        <xdr:to>
          <xdr:col>2</xdr:col>
          <xdr:colOff>167640</xdr:colOff>
          <xdr:row>141</xdr:row>
          <xdr:rowOff>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5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149</xdr:row>
          <xdr:rowOff>198120</xdr:rowOff>
        </xdr:from>
        <xdr:to>
          <xdr:col>2</xdr:col>
          <xdr:colOff>167640</xdr:colOff>
          <xdr:row>151</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5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150</xdr:row>
          <xdr:rowOff>198120</xdr:rowOff>
        </xdr:from>
        <xdr:to>
          <xdr:col>2</xdr:col>
          <xdr:colOff>167640</xdr:colOff>
          <xdr:row>152</xdr:row>
          <xdr:rowOff>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5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151</xdr:row>
          <xdr:rowOff>198120</xdr:rowOff>
        </xdr:from>
        <xdr:to>
          <xdr:col>2</xdr:col>
          <xdr:colOff>167640</xdr:colOff>
          <xdr:row>153</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5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153</xdr:row>
          <xdr:rowOff>30480</xdr:rowOff>
        </xdr:from>
        <xdr:to>
          <xdr:col>9</xdr:col>
          <xdr:colOff>91440</xdr:colOff>
          <xdr:row>154</xdr:row>
          <xdr:rowOff>30480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5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ДА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153</xdr:row>
          <xdr:rowOff>30480</xdr:rowOff>
        </xdr:from>
        <xdr:to>
          <xdr:col>10</xdr:col>
          <xdr:colOff>76200</xdr:colOff>
          <xdr:row>154</xdr:row>
          <xdr:rowOff>30480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5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НЕ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198120</xdr:rowOff>
        </xdr:from>
        <xdr:to>
          <xdr:col>2</xdr:col>
          <xdr:colOff>167640</xdr:colOff>
          <xdr:row>139</xdr:row>
          <xdr:rowOff>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5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138</xdr:row>
          <xdr:rowOff>198120</xdr:rowOff>
        </xdr:from>
        <xdr:to>
          <xdr:col>2</xdr:col>
          <xdr:colOff>167640</xdr:colOff>
          <xdr:row>140</xdr:row>
          <xdr:rowOff>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5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136</xdr:row>
          <xdr:rowOff>198120</xdr:rowOff>
        </xdr:from>
        <xdr:to>
          <xdr:col>2</xdr:col>
          <xdr:colOff>167640</xdr:colOff>
          <xdr:row>138</xdr:row>
          <xdr:rowOff>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5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198120</xdr:rowOff>
        </xdr:from>
        <xdr:to>
          <xdr:col>2</xdr:col>
          <xdr:colOff>167640</xdr:colOff>
          <xdr:row>139</xdr:row>
          <xdr:rowOff>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5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136</xdr:row>
          <xdr:rowOff>198120</xdr:rowOff>
        </xdr:from>
        <xdr:to>
          <xdr:col>2</xdr:col>
          <xdr:colOff>167640</xdr:colOff>
          <xdr:row>138</xdr:row>
          <xdr:rowOff>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5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2AB7-A82B-492F-9A18-353AA2F65BE0}">
  <sheetPr codeName="Sheet4"/>
  <dimension ref="A1:IV199"/>
  <sheetViews>
    <sheetView tabSelected="1" view="pageBreakPreview" zoomScaleNormal="100" zoomScaleSheetLayoutView="100" workbookViewId="0">
      <pane ySplit="12" topLeftCell="A13" activePane="bottomLeft" state="frozen"/>
      <selection pane="bottomLeft" activeCell="I30" sqref="I30"/>
    </sheetView>
  </sheetViews>
  <sheetFormatPr defaultRowHeight="14.4"/>
  <cols>
    <col min="1" max="9" width="22.77734375" style="9" customWidth="1"/>
    <col min="10" max="10" width="9.6640625" style="9" customWidth="1"/>
    <col min="11" max="12" width="9.6640625" style="9" hidden="1" customWidth="1"/>
    <col min="13" max="21" width="9.6640625" style="9" customWidth="1"/>
    <col min="22" max="22" width="8.88671875" style="9" customWidth="1"/>
    <col min="23" max="23" width="11.44140625" style="9" hidden="1" customWidth="1"/>
    <col min="24" max="33" width="8.88671875" style="9" hidden="1" customWidth="1"/>
    <col min="34" max="35" width="12.6640625" style="9" hidden="1" customWidth="1"/>
    <col min="36" max="37" width="15.6640625" style="9" hidden="1" customWidth="1"/>
    <col min="38" max="39" width="12.6640625" style="9" hidden="1" customWidth="1"/>
    <col min="40" max="41" width="15.6640625" style="9" hidden="1" customWidth="1"/>
    <col min="42" max="42" width="12.6640625" style="9" hidden="1" customWidth="1"/>
    <col min="43" max="43" width="10.109375" style="9" hidden="1" customWidth="1"/>
    <col min="44" max="44" width="8.88671875" style="9" customWidth="1"/>
    <col min="45" max="16384" width="8.88671875" style="9"/>
  </cols>
  <sheetData>
    <row r="1" spans="1:42" ht="23.4">
      <c r="A1" s="489" t="str">
        <f>'O KALKULATORU'!A1</f>
        <v>12.11.24</v>
      </c>
      <c r="B1" s="490" t="str">
        <f>'O KALKULATORU'!B1</f>
        <v xml:space="preserve"> -верзија</v>
      </c>
      <c r="C1" s="427"/>
      <c r="D1" s="427"/>
      <c r="E1" s="473" t="s">
        <v>820</v>
      </c>
      <c r="F1" s="427"/>
      <c r="G1" s="427"/>
      <c r="H1" s="427"/>
      <c r="I1" s="427"/>
      <c r="P1" s="554" t="str">
        <f>'O KALKULATORU'!P1</f>
        <v>Аутор:</v>
      </c>
      <c r="Q1" s="427" t="str">
        <f>'O KALKULATORU'!Q1</f>
        <v>Живојин Ступаревић, дипл.инш.маш.</v>
      </c>
    </row>
    <row r="2" spans="1:42" ht="23.4">
      <c r="A2" s="427"/>
      <c r="B2" s="427"/>
      <c r="C2" s="427"/>
      <c r="D2" s="427"/>
      <c r="E2" s="473" t="s">
        <v>915</v>
      </c>
      <c r="F2" s="427"/>
      <c r="G2" s="427"/>
      <c r="H2" s="427"/>
      <c r="I2" s="427"/>
    </row>
    <row r="3" spans="1:42" ht="7.95" customHeight="1">
      <c r="A3" s="388"/>
      <c r="B3" s="388"/>
      <c r="C3" s="388"/>
      <c r="D3" s="388"/>
      <c r="E3" s="388"/>
      <c r="F3" s="388"/>
      <c r="G3" s="388"/>
      <c r="H3" s="388"/>
      <c r="I3" s="388"/>
    </row>
    <row r="4" spans="1:42" ht="18">
      <c r="A4" s="467" t="s">
        <v>812</v>
      </c>
      <c r="B4" s="426"/>
      <c r="C4" s="496" t="s">
        <v>90</v>
      </c>
      <c r="D4" s="417" t="s">
        <v>588</v>
      </c>
      <c r="E4" s="426"/>
      <c r="F4" s="426"/>
      <c r="G4" s="426"/>
      <c r="H4" s="496" t="s">
        <v>788</v>
      </c>
      <c r="I4" s="417" t="s">
        <v>433</v>
      </c>
    </row>
    <row r="5" spans="1:42">
      <c r="A5" s="425"/>
      <c r="B5" s="426"/>
      <c r="C5" s="496" t="s">
        <v>411</v>
      </c>
      <c r="D5" s="418"/>
      <c r="E5" s="426"/>
      <c r="F5" s="426"/>
      <c r="G5" s="426"/>
      <c r="H5" s="496" t="str">
        <f>IF(I4=X29,"Изабрати тип зграде:","")</f>
        <v/>
      </c>
      <c r="I5" s="419"/>
    </row>
    <row r="6" spans="1:42" ht="16.2">
      <c r="A6" s="426"/>
      <c r="B6" s="426"/>
      <c r="C6" s="496" t="s">
        <v>195</v>
      </c>
      <c r="D6" s="417" t="s">
        <v>5</v>
      </c>
      <c r="E6" s="426"/>
      <c r="F6" s="426"/>
      <c r="G6" s="426"/>
      <c r="H6" s="496" t="s">
        <v>950</v>
      </c>
      <c r="I6" s="418">
        <v>80</v>
      </c>
    </row>
    <row r="7" spans="1:42">
      <c r="A7" s="426"/>
      <c r="B7" s="426"/>
      <c r="C7" s="496" t="s">
        <v>437</v>
      </c>
      <c r="D7" s="417" t="s">
        <v>30</v>
      </c>
      <c r="E7" s="426"/>
      <c r="F7" s="426"/>
      <c r="G7" s="426"/>
      <c r="H7" s="496" t="s">
        <v>858</v>
      </c>
      <c r="I7" s="418">
        <v>2.7</v>
      </c>
    </row>
    <row r="8" spans="1:42">
      <c r="A8" s="426"/>
      <c r="B8" s="426"/>
      <c r="C8" s="497" t="s">
        <v>755</v>
      </c>
      <c r="D8" s="494">
        <v>8000</v>
      </c>
      <c r="E8" s="498" t="str">
        <f>IF(D7=X$40,"дин/m3",IF(D7=X$41,"дин/t",IF(D7=X$42,"дин/t",IF(D7=X$43,"дин/kWh",IF(D7=X$44,"дин/m3",IF(D7=X$45,"дин/t",IF(D7=X$46,"дин/kWh",IF(D7=X$47,"дин/kWh","ПРОВЕРА"))))))))</f>
        <v>дин/m3</v>
      </c>
      <c r="F8" s="426"/>
      <c r="G8" s="426"/>
      <c r="H8" s="496" t="s">
        <v>391</v>
      </c>
      <c r="I8" s="417" t="s">
        <v>390</v>
      </c>
    </row>
    <row r="9" spans="1:42" ht="15.6">
      <c r="A9" s="426"/>
      <c r="B9" s="426"/>
      <c r="C9" s="496" t="s">
        <v>947</v>
      </c>
      <c r="D9" s="389">
        <f>SUM(UNOS!J44:J51)</f>
        <v>13.878141309059208</v>
      </c>
      <c r="E9" s="498" t="str">
        <f>IF(D7=X$40,"m3",IF(D7=X$41,"t",IF(D7=X$42,"t",IF(D7=X$43,"kWh",IF(D7=X$44,"m3",IF(D7=X$45,"t",IF(D7=X$46,"kWh",IF(D7=X$47,"kWh","ПРОВЕРА"))))))))</f>
        <v>m3</v>
      </c>
      <c r="F9" s="426"/>
      <c r="G9" s="426"/>
      <c r="H9" s="496" t="s">
        <v>951</v>
      </c>
      <c r="I9" s="555"/>
      <c r="J9" s="495">
        <f>IF(ISNA(VLOOKUP(D6,KALKULATOR!B38:D44,3,FALSE)*I6),"",VLOOKUP(D6,KALKULATOR!B38:D44,3,FALSE)*I6)</f>
        <v>19349.941587808964</v>
      </c>
    </row>
    <row r="10" spans="1:42" ht="16.2">
      <c r="A10" s="426"/>
      <c r="B10" s="426"/>
      <c r="C10" s="496" t="s">
        <v>949</v>
      </c>
      <c r="D10" s="555">
        <v>10</v>
      </c>
      <c r="E10" s="21" t="str">
        <f>IF(D7=X$40,"m3",IF(D7=X$41,"t",IF(D7=X$42,"t",IF(D7=X$43,"kWh",IF(D7=X$44,"m3",IF(D7=X$45,"t",IF(D7=X$46,"kWh",IF(D7=X$47,"kWh","ПРОВЕРА"))))))))</f>
        <v>m3</v>
      </c>
      <c r="F10" s="426"/>
      <c r="G10" s="426"/>
      <c r="H10" s="496" t="s">
        <v>766</v>
      </c>
      <c r="I10" s="209" t="str">
        <f>IF(I6&gt;0,IF(I4=X29,VLOOKUP(MATCH(IF(I9&gt;0,I9,J9)/I6,AK17:AK24,-1),AG17:AL24,6),VLOOKUP(MATCH(IF(I9&gt;0,I9,J9)/I6,AO17:AO24,-1),AG17:AH24,2)),"")</f>
        <v>G</v>
      </c>
      <c r="K10" s="310">
        <f>IF(I9&gt;0,I9,J9)/I6</f>
        <v>241.87426984761206</v>
      </c>
    </row>
    <row r="11" spans="1:42">
      <c r="A11" s="426"/>
      <c r="B11" s="426"/>
      <c r="C11" s="496" t="s">
        <v>804</v>
      </c>
      <c r="D11" s="417" t="s">
        <v>802</v>
      </c>
      <c r="E11" s="426"/>
      <c r="F11" s="426"/>
      <c r="G11" s="426"/>
      <c r="H11" s="496" t="s">
        <v>789</v>
      </c>
      <c r="I11" s="209" t="str">
        <f>IF(I6&gt;0,IF(I4=X29,VLOOKUP(MATCH(K11,AK17:AK24,-1),AG17:AL24,6),VLOOKUP(MATCH(K11,AO17:AO24,-1),AG17:AH24,2)),"")</f>
        <v>E</v>
      </c>
      <c r="K11" s="310">
        <f>KALKULATOR!B137/'ENERGETSKI KALKULATOR'!I6/IF(I9="",IF(D10="",1,KALKULATOR!E47),1)</f>
        <v>113.16941503756746</v>
      </c>
    </row>
    <row r="12" spans="1:42" ht="7.95" customHeight="1">
      <c r="A12" s="388"/>
      <c r="B12" s="388"/>
      <c r="C12" s="388"/>
      <c r="D12" s="388"/>
      <c r="E12" s="388"/>
      <c r="F12" s="388"/>
      <c r="G12" s="388"/>
      <c r="H12" s="388"/>
      <c r="I12" s="388"/>
    </row>
    <row r="13" spans="1:42" ht="18.600000000000001" thickBot="1">
      <c r="A13" s="466" t="s">
        <v>62</v>
      </c>
      <c r="B13" s="385"/>
      <c r="C13" s="443"/>
      <c r="D13" s="444"/>
      <c r="E13" s="385"/>
      <c r="F13" s="385"/>
      <c r="G13" s="385"/>
      <c r="H13" s="443"/>
      <c r="I13" s="444"/>
    </row>
    <row r="14" spans="1:42" ht="15" thickBot="1">
      <c r="A14" s="385"/>
      <c r="B14" s="385"/>
      <c r="C14" s="499" t="s">
        <v>442</v>
      </c>
      <c r="D14" s="421">
        <v>350000</v>
      </c>
      <c r="E14" s="385"/>
      <c r="F14" s="385"/>
      <c r="G14" s="385"/>
      <c r="H14" s="500" t="s">
        <v>961</v>
      </c>
      <c r="I14" s="418">
        <v>2</v>
      </c>
      <c r="AH14" s="390" t="s">
        <v>767</v>
      </c>
      <c r="AI14" s="391"/>
      <c r="AJ14" s="392" t="s">
        <v>768</v>
      </c>
      <c r="AK14" s="393" t="s">
        <v>769</v>
      </c>
      <c r="AL14" s="390" t="s">
        <v>785</v>
      </c>
      <c r="AM14" s="391"/>
      <c r="AN14" s="394" t="s">
        <v>768</v>
      </c>
      <c r="AO14" s="393" t="s">
        <v>769</v>
      </c>
    </row>
    <row r="15" spans="1:42" ht="16.2">
      <c r="A15" s="385"/>
      <c r="B15" s="385"/>
      <c r="C15" s="499" t="s">
        <v>958</v>
      </c>
      <c r="D15" s="418">
        <v>20</v>
      </c>
      <c r="E15" s="385"/>
      <c r="F15" s="385"/>
      <c r="G15" s="385"/>
      <c r="H15" s="500" t="s">
        <v>962</v>
      </c>
      <c r="I15" s="417" t="s">
        <v>63</v>
      </c>
      <c r="V15" s="388"/>
      <c r="W15" s="388"/>
      <c r="X15" s="395" t="s">
        <v>744</v>
      </c>
      <c r="AH15" s="396"/>
      <c r="AI15" s="397" t="s">
        <v>770</v>
      </c>
      <c r="AJ15" s="397" t="s">
        <v>771</v>
      </c>
      <c r="AK15" s="398" t="s">
        <v>771</v>
      </c>
      <c r="AL15" s="396"/>
      <c r="AM15" s="397" t="s">
        <v>770</v>
      </c>
      <c r="AN15" s="397" t="s">
        <v>771</v>
      </c>
      <c r="AO15" s="398" t="s">
        <v>771</v>
      </c>
    </row>
    <row r="16" spans="1:42" ht="16.8" thickBot="1">
      <c r="A16" s="385"/>
      <c r="B16" s="385"/>
      <c r="C16" s="499" t="s">
        <v>959</v>
      </c>
      <c r="D16" s="417" t="s">
        <v>168</v>
      </c>
      <c r="E16" s="385"/>
      <c r="F16" s="385"/>
      <c r="G16" s="385"/>
      <c r="H16" s="500" t="s">
        <v>963</v>
      </c>
      <c r="I16" s="418">
        <v>1.6</v>
      </c>
      <c r="X16" s="395" t="s">
        <v>745</v>
      </c>
      <c r="AH16" s="399" t="s">
        <v>806</v>
      </c>
      <c r="AI16" s="400" t="s">
        <v>778</v>
      </c>
      <c r="AJ16" s="400" t="s">
        <v>779</v>
      </c>
      <c r="AK16" s="401" t="s">
        <v>780</v>
      </c>
      <c r="AL16" s="399" t="s">
        <v>806</v>
      </c>
      <c r="AM16" s="400" t="s">
        <v>778</v>
      </c>
      <c r="AN16" s="400" t="s">
        <v>779</v>
      </c>
      <c r="AO16" s="401" t="s">
        <v>780</v>
      </c>
      <c r="AP16" s="399" t="s">
        <v>806</v>
      </c>
    </row>
    <row r="17" spans="1:256" ht="16.8" thickBot="1">
      <c r="A17" s="385"/>
      <c r="B17" s="385"/>
      <c r="C17" s="499" t="s">
        <v>960</v>
      </c>
      <c r="D17" s="417" t="s">
        <v>10</v>
      </c>
      <c r="E17" s="385"/>
      <c r="F17" s="385"/>
      <c r="G17" s="385"/>
      <c r="H17" s="500" t="s">
        <v>964</v>
      </c>
      <c r="I17" s="418">
        <v>1.3</v>
      </c>
      <c r="X17" s="395" t="s">
        <v>746</v>
      </c>
      <c r="AG17" s="9">
        <v>1</v>
      </c>
      <c r="AH17" s="399" t="s">
        <v>782</v>
      </c>
      <c r="AI17" s="400" t="s">
        <v>783</v>
      </c>
      <c r="AJ17" s="400" t="s">
        <v>784</v>
      </c>
      <c r="AK17" s="402">
        <v>1880</v>
      </c>
      <c r="AL17" s="399" t="s">
        <v>782</v>
      </c>
      <c r="AM17" s="400" t="s">
        <v>783</v>
      </c>
      <c r="AN17" s="400" t="s">
        <v>786</v>
      </c>
      <c r="AO17" s="402">
        <v>1750</v>
      </c>
      <c r="AP17" s="399" t="s">
        <v>782</v>
      </c>
      <c r="AQ17" s="403">
        <f>AK17-0.000002</f>
        <v>1879.999998</v>
      </c>
    </row>
    <row r="18" spans="1:256" s="404" customFormat="1" ht="15" thickBot="1">
      <c r="A18" s="385"/>
      <c r="B18" s="385"/>
      <c r="C18" s="499" t="s">
        <v>754</v>
      </c>
      <c r="D18" s="417" t="s">
        <v>500</v>
      </c>
      <c r="E18" s="385"/>
      <c r="F18" s="385"/>
      <c r="G18" s="385"/>
      <c r="H18" s="500" t="s">
        <v>791</v>
      </c>
      <c r="I18" s="417" t="s">
        <v>169</v>
      </c>
      <c r="J18" s="9"/>
      <c r="K18" s="9"/>
      <c r="L18" s="9"/>
      <c r="M18" s="9"/>
      <c r="N18" s="9"/>
      <c r="O18" s="9"/>
      <c r="P18" s="9"/>
      <c r="Q18" s="9"/>
      <c r="R18" s="9"/>
      <c r="S18" s="9"/>
      <c r="T18" s="9"/>
      <c r="U18" s="9"/>
      <c r="X18" s="187" t="s">
        <v>747</v>
      </c>
      <c r="AG18" s="404">
        <v>2</v>
      </c>
      <c r="AH18" s="399" t="s">
        <v>781</v>
      </c>
      <c r="AI18" s="400">
        <v>250</v>
      </c>
      <c r="AJ18" s="400">
        <v>163</v>
      </c>
      <c r="AK18" s="402">
        <v>188.000001</v>
      </c>
      <c r="AL18" s="399" t="s">
        <v>781</v>
      </c>
      <c r="AM18" s="400">
        <v>250</v>
      </c>
      <c r="AN18" s="400">
        <v>150</v>
      </c>
      <c r="AO18" s="402">
        <v>175.000001</v>
      </c>
      <c r="AP18" s="399" t="s">
        <v>781</v>
      </c>
      <c r="AQ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ht="18.600000000000001" thickBot="1">
      <c r="A19" s="451"/>
      <c r="B19" s="509" t="s">
        <v>740</v>
      </c>
      <c r="C19" s="511">
        <f>IF(D14="",0,KALKULATOR!$X$60)</f>
        <v>80000.000000000015</v>
      </c>
      <c r="D19" s="451"/>
      <c r="E19" s="452" t="s">
        <v>741</v>
      </c>
      <c r="F19" s="511">
        <f>USTEDA!$D$15</f>
        <v>20485.783420955795</v>
      </c>
      <c r="G19" s="516"/>
      <c r="H19" s="452" t="s">
        <v>742</v>
      </c>
      <c r="I19" s="514">
        <f>IF(ISNUMBER(D14/F19),D14/F19,0)</f>
        <v>17.085019049941231</v>
      </c>
      <c r="K19" s="482">
        <v>15</v>
      </c>
      <c r="L19" s="9" t="s">
        <v>816</v>
      </c>
      <c r="X19" s="395" t="s">
        <v>748</v>
      </c>
      <c r="AG19" s="9">
        <v>3</v>
      </c>
      <c r="AH19" s="405" t="s">
        <v>777</v>
      </c>
      <c r="AI19" s="400">
        <v>200</v>
      </c>
      <c r="AJ19" s="406">
        <v>130</v>
      </c>
      <c r="AK19" s="407">
        <v>150.000001</v>
      </c>
      <c r="AL19" s="405" t="s">
        <v>777</v>
      </c>
      <c r="AM19" s="400">
        <v>200</v>
      </c>
      <c r="AN19" s="406">
        <v>120</v>
      </c>
      <c r="AO19" s="407">
        <v>140.000001</v>
      </c>
      <c r="AP19" s="405" t="s">
        <v>777</v>
      </c>
    </row>
    <row r="20" spans="1:256" ht="18" customHeight="1" thickBot="1">
      <c r="A20" s="453"/>
      <c r="B20" s="510" t="s">
        <v>814</v>
      </c>
      <c r="C20" s="512">
        <f>IF(ISNUMBER(F20/KALKULATOR!B140),F20/KALKULATOR!B140,0)</f>
        <v>0.25607229276194743</v>
      </c>
      <c r="D20" s="453"/>
      <c r="E20" s="518" t="s">
        <v>945</v>
      </c>
      <c r="F20" s="513">
        <f>KALKULATOR!B94</f>
        <v>6007.4559881952873</v>
      </c>
      <c r="G20" s="424"/>
      <c r="H20" s="517" t="s">
        <v>815</v>
      </c>
      <c r="I20" s="515">
        <f>IF(ISNUMBER(D14/(K19*F20)),D14/(K19*F20),0)</f>
        <v>3.8840623017769209</v>
      </c>
      <c r="X20" s="395" t="s">
        <v>749</v>
      </c>
      <c r="AG20" s="9">
        <v>4</v>
      </c>
      <c r="AH20" s="408" t="s">
        <v>776</v>
      </c>
      <c r="AI20" s="400">
        <v>150</v>
      </c>
      <c r="AJ20" s="409">
        <v>98</v>
      </c>
      <c r="AK20" s="410">
        <v>113.000001</v>
      </c>
      <c r="AL20" s="408" t="s">
        <v>776</v>
      </c>
      <c r="AM20" s="400">
        <v>150</v>
      </c>
      <c r="AN20" s="409">
        <v>90</v>
      </c>
      <c r="AO20" s="410">
        <v>105.000001</v>
      </c>
      <c r="AP20" s="408" t="s">
        <v>776</v>
      </c>
    </row>
    <row r="21" spans="1:256" ht="7.95" customHeight="1" thickBot="1">
      <c r="A21" s="388"/>
      <c r="B21" s="388"/>
      <c r="C21" s="388"/>
      <c r="D21" s="388"/>
      <c r="E21" s="388"/>
      <c r="F21" s="388"/>
      <c r="G21" s="388"/>
      <c r="H21" s="388"/>
      <c r="I21" s="388"/>
      <c r="X21" s="395" t="s">
        <v>750</v>
      </c>
      <c r="AG21" s="9">
        <v>5</v>
      </c>
      <c r="AH21" s="399" t="s">
        <v>775</v>
      </c>
      <c r="AI21" s="400">
        <v>100</v>
      </c>
      <c r="AJ21" s="400">
        <v>65</v>
      </c>
      <c r="AK21" s="402">
        <v>75.000000999999997</v>
      </c>
      <c r="AL21" s="399" t="s">
        <v>775</v>
      </c>
      <c r="AM21" s="400">
        <v>100</v>
      </c>
      <c r="AN21" s="400">
        <v>60</v>
      </c>
      <c r="AO21" s="402">
        <v>70.000000999999997</v>
      </c>
      <c r="AP21" s="399" t="s">
        <v>775</v>
      </c>
    </row>
    <row r="22" spans="1:256" ht="18.600000000000001" thickBot="1">
      <c r="A22" s="469" t="s">
        <v>944</v>
      </c>
      <c r="B22" s="429"/>
      <c r="C22" s="445"/>
      <c r="D22" s="446"/>
      <c r="E22" s="429"/>
      <c r="F22" s="429"/>
      <c r="G22" s="429"/>
      <c r="H22" s="445"/>
      <c r="I22" s="446"/>
      <c r="X22" s="395" t="s">
        <v>751</v>
      </c>
      <c r="AG22" s="9">
        <v>6</v>
      </c>
      <c r="AH22" s="399" t="s">
        <v>774</v>
      </c>
      <c r="AI22" s="400">
        <v>50</v>
      </c>
      <c r="AJ22" s="400">
        <v>33</v>
      </c>
      <c r="AK22" s="402">
        <v>38.000000999999997</v>
      </c>
      <c r="AL22" s="399" t="s">
        <v>774</v>
      </c>
      <c r="AM22" s="400">
        <v>50</v>
      </c>
      <c r="AN22" s="400">
        <v>30</v>
      </c>
      <c r="AO22" s="402">
        <v>35.000000999999997</v>
      </c>
      <c r="AP22" s="399" t="s">
        <v>774</v>
      </c>
    </row>
    <row r="23" spans="1:256" ht="16.8" thickBot="1">
      <c r="A23" s="429"/>
      <c r="B23" s="429"/>
      <c r="C23" s="501" t="s">
        <v>442</v>
      </c>
      <c r="D23" s="421">
        <v>550000</v>
      </c>
      <c r="E23" s="429"/>
      <c r="F23" s="429"/>
      <c r="G23" s="429"/>
      <c r="H23" s="501" t="s">
        <v>952</v>
      </c>
      <c r="I23" s="421">
        <v>90</v>
      </c>
      <c r="X23" s="395"/>
      <c r="AG23" s="9">
        <v>7</v>
      </c>
      <c r="AH23" s="411" t="s">
        <v>773</v>
      </c>
      <c r="AI23" s="400">
        <v>25</v>
      </c>
      <c r="AJ23" s="394">
        <v>17</v>
      </c>
      <c r="AK23" s="412">
        <v>20.000001000000001</v>
      </c>
      <c r="AL23" s="399" t="s">
        <v>773</v>
      </c>
      <c r="AM23" s="394">
        <v>25</v>
      </c>
      <c r="AN23" s="400">
        <v>15</v>
      </c>
      <c r="AO23" s="402">
        <v>18.000001000000001</v>
      </c>
      <c r="AP23" s="399" t="s">
        <v>773</v>
      </c>
    </row>
    <row r="24" spans="1:256" ht="15" thickBot="1">
      <c r="A24" s="428"/>
      <c r="B24" s="429"/>
      <c r="C24" s="501" t="s">
        <v>859</v>
      </c>
      <c r="D24" s="417" t="s">
        <v>100</v>
      </c>
      <c r="E24" s="429"/>
      <c r="F24" s="429"/>
      <c r="G24" s="429"/>
      <c r="H24" s="501" t="s">
        <v>861</v>
      </c>
      <c r="I24" s="418">
        <v>10</v>
      </c>
      <c r="X24" s="395" t="s">
        <v>752</v>
      </c>
      <c r="AA24" s="9" t="s">
        <v>10</v>
      </c>
      <c r="AD24" s="9" t="s">
        <v>166</v>
      </c>
      <c r="AE24" s="9" t="s">
        <v>169</v>
      </c>
      <c r="AG24" s="9">
        <v>8</v>
      </c>
      <c r="AH24" s="413" t="s">
        <v>772</v>
      </c>
      <c r="AI24" s="414">
        <v>15</v>
      </c>
      <c r="AJ24" s="414">
        <v>10</v>
      </c>
      <c r="AK24" s="415">
        <v>12.000000999999999</v>
      </c>
      <c r="AL24" s="413" t="s">
        <v>772</v>
      </c>
      <c r="AM24" s="414">
        <v>15</v>
      </c>
      <c r="AN24" s="414">
        <v>9</v>
      </c>
      <c r="AO24" s="415">
        <v>10.000000999999999</v>
      </c>
      <c r="AP24" s="413" t="s">
        <v>772</v>
      </c>
    </row>
    <row r="25" spans="1:256" ht="15" thickBot="1">
      <c r="A25" s="429"/>
      <c r="B25" s="429"/>
      <c r="C25" s="502" t="s">
        <v>941</v>
      </c>
      <c r="D25" s="418">
        <v>30</v>
      </c>
      <c r="E25" s="429"/>
      <c r="F25" s="429"/>
      <c r="G25" s="429"/>
      <c r="H25" s="501" t="s">
        <v>953</v>
      </c>
      <c r="I25" s="418">
        <v>4.1000000000000002E-2</v>
      </c>
      <c r="X25" s="395" t="s">
        <v>753</v>
      </c>
      <c r="AA25" s="9" t="s">
        <v>11</v>
      </c>
      <c r="AD25" s="9" t="s">
        <v>167</v>
      </c>
      <c r="AE25" s="9" t="s">
        <v>170</v>
      </c>
      <c r="AH25" s="404"/>
      <c r="AI25" s="404"/>
      <c r="AJ25" s="404"/>
      <c r="AK25" s="404"/>
      <c r="AL25" s="404"/>
      <c r="AM25" s="404"/>
      <c r="AN25" s="404"/>
      <c r="AO25" s="404"/>
      <c r="AP25" s="404"/>
    </row>
    <row r="26" spans="1:256" s="404" customFormat="1" ht="18">
      <c r="A26" s="454"/>
      <c r="B26" s="519" t="s">
        <v>740</v>
      </c>
      <c r="C26" s="521">
        <f>IF(D23="",0,KALKULATOR!$X$60)</f>
        <v>80000.000000000015</v>
      </c>
      <c r="D26" s="454"/>
      <c r="E26" s="455" t="s">
        <v>741</v>
      </c>
      <c r="F26" s="521">
        <f>UNOS!$F$124</f>
        <v>22083.39266912852</v>
      </c>
      <c r="G26" s="524"/>
      <c r="H26" s="455" t="s">
        <v>742</v>
      </c>
      <c r="I26" s="525">
        <f>IF(ISNUMBER(D23/F26),D23/F26,0)</f>
        <v>24.905593458421475</v>
      </c>
      <c r="K26" s="482">
        <v>30</v>
      </c>
      <c r="L26" s="9" t="s">
        <v>817</v>
      </c>
      <c r="M26" s="9"/>
      <c r="N26" s="9"/>
      <c r="O26" s="9"/>
      <c r="P26" s="9"/>
      <c r="Q26" s="9"/>
      <c r="R26" s="9"/>
      <c r="S26" s="9"/>
      <c r="T26" s="9"/>
      <c r="U26" s="9"/>
      <c r="X26" s="187"/>
      <c r="AD26" s="9" t="s">
        <v>168</v>
      </c>
      <c r="AE26" s="404" t="s">
        <v>171</v>
      </c>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ht="18.600000000000001" thickBot="1">
      <c r="A27" s="456"/>
      <c r="B27" s="520" t="s">
        <v>814</v>
      </c>
      <c r="C27" s="522">
        <f>IF(ISNUMBER(F27/KALKULATOR!D51),F27/KALKULATOR!D51,0)</f>
        <v>0.27604240836410643</v>
      </c>
      <c r="D27" s="456"/>
      <c r="E27" s="520" t="s">
        <v>945</v>
      </c>
      <c r="F27" s="523">
        <f>IF(ISNUMBER(KALKULATOR!B126+KALKULATOR!C126+KALKULATOR!D126+KALKULATOR!E126+KALKULATOR!F126),KALKULATOR!B126+KALKULATOR!C126+KALKULATOR!D126+KALKULATOR!E126+KALKULATOR!F126,0)</f>
        <v>6475.9549002219383</v>
      </c>
      <c r="G27" s="440"/>
      <c r="H27" s="527" t="s">
        <v>815</v>
      </c>
      <c r="I27" s="526">
        <f>IF(ISNUMBER(D23/(K26*F27)),D23/(K26*F27),0)</f>
        <v>2.8309853320172182</v>
      </c>
      <c r="W27" s="9" t="s">
        <v>799</v>
      </c>
      <c r="X27" s="9" t="s">
        <v>433</v>
      </c>
      <c r="AA27" s="9" t="s">
        <v>498</v>
      </c>
      <c r="AH27" s="404"/>
      <c r="AI27" s="404"/>
      <c r="AJ27" s="404"/>
      <c r="AK27" s="404"/>
      <c r="AL27" s="404"/>
      <c r="AM27" s="404"/>
      <c r="AN27" s="404"/>
      <c r="AO27" s="404"/>
      <c r="AP27" s="404"/>
    </row>
    <row r="28" spans="1:256" ht="7.95" customHeight="1">
      <c r="A28" s="388"/>
      <c r="B28" s="388"/>
      <c r="C28" s="388"/>
      <c r="D28" s="388"/>
      <c r="E28" s="388"/>
      <c r="F28" s="388"/>
      <c r="G28" s="388"/>
      <c r="H28" s="388"/>
      <c r="I28" s="388"/>
      <c r="W28" s="9" t="s">
        <v>800</v>
      </c>
      <c r="X28" s="9" t="s">
        <v>434</v>
      </c>
      <c r="AA28" s="9" t="s">
        <v>499</v>
      </c>
      <c r="AH28" s="404"/>
      <c r="AI28" s="404"/>
      <c r="AJ28" s="404"/>
      <c r="AK28" s="404"/>
      <c r="AL28" s="404"/>
      <c r="AM28" s="404"/>
      <c r="AN28" s="404"/>
      <c r="AO28" s="404"/>
      <c r="AP28" s="404"/>
    </row>
    <row r="29" spans="1:256" ht="18">
      <c r="A29" s="470" t="s">
        <v>946</v>
      </c>
      <c r="B29" s="431"/>
      <c r="C29" s="447"/>
      <c r="D29" s="448"/>
      <c r="E29" s="431"/>
      <c r="F29" s="431"/>
      <c r="G29" s="431"/>
      <c r="H29" s="447"/>
      <c r="I29" s="448"/>
      <c r="W29" s="9" t="s">
        <v>801</v>
      </c>
      <c r="X29" s="9" t="s">
        <v>435</v>
      </c>
      <c r="AA29" s="9" t="s">
        <v>500</v>
      </c>
      <c r="AH29" s="404"/>
      <c r="AI29" s="404"/>
      <c r="AJ29" s="404"/>
      <c r="AK29" s="404"/>
      <c r="AL29" s="404"/>
      <c r="AM29" s="404"/>
      <c r="AN29" s="404"/>
      <c r="AO29" s="404"/>
      <c r="AP29" s="404"/>
    </row>
    <row r="30" spans="1:256">
      <c r="A30" s="431"/>
      <c r="B30" s="431"/>
      <c r="C30" s="503" t="s">
        <v>442</v>
      </c>
      <c r="D30" s="421">
        <v>250000</v>
      </c>
      <c r="E30" s="431"/>
      <c r="F30" s="431"/>
      <c r="G30" s="431"/>
      <c r="H30" s="503" t="s">
        <v>759</v>
      </c>
      <c r="I30" s="423">
        <v>0.85</v>
      </c>
      <c r="AH30" s="404"/>
      <c r="AI30" s="404"/>
      <c r="AJ30" s="404"/>
      <c r="AK30" s="404"/>
      <c r="AL30" s="404"/>
      <c r="AM30" s="404"/>
      <c r="AN30" s="404"/>
      <c r="AO30" s="404"/>
      <c r="AP30" s="404"/>
    </row>
    <row r="31" spans="1:256">
      <c r="A31" s="431"/>
      <c r="B31" s="431"/>
      <c r="C31" s="503" t="s">
        <v>760</v>
      </c>
      <c r="D31" s="417" t="s">
        <v>762</v>
      </c>
      <c r="E31" s="431"/>
      <c r="F31" s="431"/>
      <c r="G31" s="431"/>
      <c r="H31" s="503" t="s">
        <v>862</v>
      </c>
      <c r="I31" s="417" t="s">
        <v>753</v>
      </c>
      <c r="X31" s="9" t="s">
        <v>3</v>
      </c>
      <c r="AA31" s="9" t="s">
        <v>63</v>
      </c>
      <c r="AH31" s="404"/>
      <c r="AI31" s="404"/>
      <c r="AJ31" s="404"/>
      <c r="AK31" s="404"/>
      <c r="AL31" s="404"/>
      <c r="AM31" s="404"/>
      <c r="AN31" s="404"/>
      <c r="AO31" s="404"/>
      <c r="AP31" s="404"/>
    </row>
    <row r="32" spans="1:256" s="404" customFormat="1">
      <c r="A32" s="430"/>
      <c r="B32" s="431"/>
      <c r="C32" s="503" t="s">
        <v>758</v>
      </c>
      <c r="D32" s="422">
        <v>32000</v>
      </c>
      <c r="E32" s="431" t="str">
        <f>IF(D31=AA44,"дин/m3",IF(D31=AA45,"дин/t",IF(D31=AA46,"дин/kWh","")))</f>
        <v>дин/t</v>
      </c>
      <c r="F32" s="431"/>
      <c r="G32" s="431"/>
      <c r="H32" s="503" t="s">
        <v>787</v>
      </c>
      <c r="I32" s="417" t="s">
        <v>752</v>
      </c>
      <c r="K32" s="9"/>
      <c r="L32" s="9"/>
      <c r="M32" s="9"/>
      <c r="N32" s="9"/>
      <c r="O32" s="9"/>
      <c r="P32" s="9"/>
      <c r="Q32" s="9"/>
      <c r="R32" s="9"/>
      <c r="S32" s="9"/>
      <c r="T32" s="9"/>
      <c r="U32" s="9"/>
      <c r="X32" s="187" t="s">
        <v>4</v>
      </c>
      <c r="AA32" s="404" t="s">
        <v>64</v>
      </c>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7" ht="15" thickBot="1">
      <c r="A33" s="431"/>
      <c r="B33" s="431"/>
      <c r="C33" s="431"/>
      <c r="D33" s="431"/>
      <c r="E33" s="431"/>
      <c r="F33" s="431"/>
      <c r="G33" s="431"/>
      <c r="H33" s="503" t="s">
        <v>805</v>
      </c>
      <c r="I33" s="417" t="s">
        <v>752</v>
      </c>
      <c r="X33" s="9" t="s">
        <v>5</v>
      </c>
    </row>
    <row r="34" spans="1:27" ht="18">
      <c r="A34" s="457"/>
      <c r="B34" s="528" t="s">
        <v>740</v>
      </c>
      <c r="C34" s="531">
        <f>UNOS!$B$160</f>
        <v>37430.823909915693</v>
      </c>
      <c r="D34" s="457"/>
      <c r="E34" s="458" t="s">
        <v>741</v>
      </c>
      <c r="F34" s="531">
        <f>UNOS!$F$160</f>
        <v>-15328.487672940973</v>
      </c>
      <c r="G34" s="458"/>
      <c r="H34" s="458" t="s">
        <v>742</v>
      </c>
      <c r="I34" s="534" t="str">
        <f>IF(ISNUMBER(D30/F34),IF(D30/F34&lt;0,"НЕМА УШТЕДЕ НОВЦА",D30/F34),0)</f>
        <v>НЕМА УШТЕДЕ НОВЦА</v>
      </c>
      <c r="K34" s="482">
        <v>15</v>
      </c>
      <c r="L34" s="9" t="s">
        <v>860</v>
      </c>
      <c r="X34" s="9" t="s">
        <v>6</v>
      </c>
      <c r="AA34" s="416" t="s">
        <v>94</v>
      </c>
    </row>
    <row r="35" spans="1:27" ht="18.600000000000001" thickBot="1">
      <c r="A35" s="459"/>
      <c r="B35" s="529" t="s">
        <v>814</v>
      </c>
      <c r="C35" s="532">
        <f>IF(ISNUMBER(F35/KALKULATOR!B236),F35/KALKULATOR!B236,0)</f>
        <v>0.2489795918367346</v>
      </c>
      <c r="D35" s="459"/>
      <c r="E35" s="529" t="s">
        <v>945</v>
      </c>
      <c r="F35" s="533">
        <f>KALKULATOR!B237</f>
        <v>2732.9466767614249</v>
      </c>
      <c r="G35" s="439"/>
      <c r="H35" s="530" t="s">
        <v>815</v>
      </c>
      <c r="I35" s="535">
        <f>IF(ISNUMBER(D30/(K34*F35)),D30/(K34*F35),0)</f>
        <v>6.0984236569214252</v>
      </c>
      <c r="X35" s="9" t="s">
        <v>7</v>
      </c>
      <c r="AA35" s="416" t="s">
        <v>95</v>
      </c>
    </row>
    <row r="36" spans="1:27" ht="7.95" customHeight="1">
      <c r="A36" s="388"/>
      <c r="B36" s="388"/>
      <c r="C36" s="388"/>
      <c r="D36" s="388"/>
      <c r="E36" s="388"/>
      <c r="F36" s="388"/>
      <c r="G36" s="388"/>
      <c r="H36" s="388"/>
      <c r="I36" s="388"/>
      <c r="X36" s="9" t="s">
        <v>8</v>
      </c>
      <c r="AA36" s="416" t="s">
        <v>96</v>
      </c>
    </row>
    <row r="37" spans="1:27" ht="18">
      <c r="A37" s="471" t="s">
        <v>969</v>
      </c>
      <c r="B37" s="433"/>
      <c r="C37" s="449"/>
      <c r="D37" s="450"/>
      <c r="E37" s="433"/>
      <c r="F37" s="433"/>
      <c r="G37" s="433"/>
      <c r="H37" s="449"/>
      <c r="I37" s="450"/>
      <c r="X37" s="9" t="s">
        <v>9</v>
      </c>
      <c r="AA37" s="416" t="s">
        <v>101</v>
      </c>
    </row>
    <row r="38" spans="1:27" ht="18">
      <c r="A38" s="471"/>
      <c r="B38" s="433"/>
      <c r="C38" s="504" t="s">
        <v>442</v>
      </c>
      <c r="D38" s="421"/>
      <c r="E38" s="433"/>
      <c r="F38" s="433"/>
      <c r="G38" s="433"/>
      <c r="H38" s="487" t="str">
        <f>IF(D41&gt;0,"ПРЕПОРУЧЕНА ПОВРШИНА КОЛЕКТОРА (m2):","")</f>
        <v/>
      </c>
      <c r="I38" s="488" t="str">
        <f>IF(D41&gt;0,(KALKULATOR!M262+KALKULATOR!T262)/(KALKULATOR!M261+KALKULATOR!T261),"")</f>
        <v/>
      </c>
      <c r="AA38" s="416" t="s">
        <v>100</v>
      </c>
    </row>
    <row r="39" spans="1:27" ht="16.2">
      <c r="A39" s="433"/>
      <c r="B39" s="433"/>
      <c r="C39" s="504" t="s">
        <v>764</v>
      </c>
      <c r="D39" s="417"/>
      <c r="E39" s="433"/>
      <c r="F39" s="433"/>
      <c r="G39" s="433"/>
      <c r="H39" s="504" t="s">
        <v>954</v>
      </c>
      <c r="I39" s="423"/>
    </row>
    <row r="40" spans="1:27">
      <c r="A40" s="432"/>
      <c r="B40" s="433"/>
      <c r="C40" s="505" t="s">
        <v>809</v>
      </c>
      <c r="D40" s="422"/>
      <c r="E40" s="433" t="str">
        <f>IF(D39=X$40,"дин/m3",IF(D39=X$41,"дин/t",IF(D39=X$42,"дин/t",IF(D39=X$43,"дин/kWh",IF(D39=X$44,"дин/m3",IF(D39=X$45,"дин/t",IF(D39=X$46,"дин/kWh",IF(D39=X$47,"дин/kWh","ПРОВЕРА"))))))))</f>
        <v>ПРОВЕРА</v>
      </c>
      <c r="F40" s="433"/>
      <c r="G40" s="433"/>
      <c r="H40" s="504" t="s">
        <v>37</v>
      </c>
      <c r="I40" s="420"/>
      <c r="X40" s="9" t="s">
        <v>30</v>
      </c>
    </row>
    <row r="41" spans="1:27" ht="15" thickBot="1">
      <c r="A41" s="433"/>
      <c r="B41" s="433"/>
      <c r="C41" s="505" t="s">
        <v>205</v>
      </c>
      <c r="D41" s="421"/>
      <c r="E41" s="433"/>
      <c r="F41" s="433"/>
      <c r="G41" s="433"/>
      <c r="H41" s="433"/>
      <c r="I41" s="433"/>
      <c r="X41" s="9" t="s">
        <v>29</v>
      </c>
      <c r="AA41" s="123" t="s">
        <v>83</v>
      </c>
    </row>
    <row r="42" spans="1:27" ht="18">
      <c r="A42" s="460"/>
      <c r="B42" s="536" t="s">
        <v>740</v>
      </c>
      <c r="C42" s="538">
        <f>UNOS!$B$179</f>
        <v>0</v>
      </c>
      <c r="D42" s="460"/>
      <c r="E42" s="461" t="s">
        <v>741</v>
      </c>
      <c r="F42" s="538">
        <f>UNOS!$F$179</f>
        <v>0</v>
      </c>
      <c r="G42" s="541"/>
      <c r="H42" s="461" t="s">
        <v>742</v>
      </c>
      <c r="I42" s="543">
        <f>IF(ISNUMBER(D38/F42),D38/F42,0)</f>
        <v>0</v>
      </c>
      <c r="K42" s="482">
        <v>15</v>
      </c>
      <c r="L42" s="9" t="s">
        <v>818</v>
      </c>
      <c r="X42" s="9" t="s">
        <v>85</v>
      </c>
      <c r="AA42" s="123" t="s">
        <v>270</v>
      </c>
    </row>
    <row r="43" spans="1:27" ht="18.600000000000001" thickBot="1">
      <c r="A43" s="462"/>
      <c r="B43" s="537" t="s">
        <v>814</v>
      </c>
      <c r="C43" s="539">
        <f>IF(ISNUMBER(F43/KALKULATOR!B264),F43/KALKULATOR!B264,0)</f>
        <v>0</v>
      </c>
      <c r="D43" s="462"/>
      <c r="E43" s="537" t="s">
        <v>945</v>
      </c>
      <c r="F43" s="540">
        <f>KALKULATOR!B266</f>
        <v>0</v>
      </c>
      <c r="G43" s="438"/>
      <c r="H43" s="542" t="s">
        <v>815</v>
      </c>
      <c r="I43" s="544">
        <f>IF(ISNUMBER(D38/(K42*F43)),D38/(K42*F43),0)</f>
        <v>0</v>
      </c>
      <c r="X43" s="9" t="s">
        <v>31</v>
      </c>
    </row>
    <row r="44" spans="1:27" ht="7.95" customHeight="1">
      <c r="A44" s="388"/>
      <c r="B44" s="388"/>
      <c r="C44" s="388"/>
      <c r="D44" s="388"/>
      <c r="E44" s="388"/>
      <c r="F44" s="388"/>
      <c r="G44" s="388"/>
      <c r="H44" s="388"/>
      <c r="I44" s="388"/>
      <c r="X44" s="9" t="s">
        <v>32</v>
      </c>
      <c r="AA44" s="9" t="s">
        <v>761</v>
      </c>
    </row>
    <row r="45" spans="1:27" ht="18">
      <c r="A45" s="472" t="s">
        <v>970</v>
      </c>
      <c r="B45" s="435"/>
      <c r="C45" s="441"/>
      <c r="D45" s="442"/>
      <c r="E45" s="435"/>
      <c r="F45" s="435"/>
      <c r="G45" s="435"/>
      <c r="H45" s="435"/>
      <c r="I45" s="435"/>
      <c r="X45" s="9" t="s">
        <v>153</v>
      </c>
      <c r="AA45" s="9" t="s">
        <v>762</v>
      </c>
    </row>
    <row r="46" spans="1:27">
      <c r="A46" s="434"/>
      <c r="B46" s="435"/>
      <c r="C46" s="506" t="s">
        <v>442</v>
      </c>
      <c r="D46" s="421"/>
      <c r="E46" s="435"/>
      <c r="F46" s="435"/>
      <c r="G46" s="435"/>
      <c r="H46" s="485" t="str">
        <f>IF(D47&gt;0,IF(KALKULATOR!B294&gt;0,"ПРЕПОРУЧЕНА СНАГА (kWp):",""),"")</f>
        <v/>
      </c>
      <c r="I46" s="486" t="str">
        <f>IF(D47&gt;0,IF(KALKULATOR!B294&gt;0,D47/KALKULATOR!B294/1000,""),"")</f>
        <v/>
      </c>
      <c r="X46" s="9" t="s">
        <v>33</v>
      </c>
      <c r="AA46" s="9" t="s">
        <v>763</v>
      </c>
    </row>
    <row r="47" spans="1:27">
      <c r="A47" s="435"/>
      <c r="B47" s="435"/>
      <c r="C47" s="506" t="s">
        <v>292</v>
      </c>
      <c r="D47" s="421"/>
      <c r="E47" s="508" t="s">
        <v>192</v>
      </c>
      <c r="F47" s="435"/>
      <c r="G47" s="435"/>
      <c r="H47" s="506" t="s">
        <v>940</v>
      </c>
      <c r="I47" s="423"/>
      <c r="X47" s="9" t="s">
        <v>140</v>
      </c>
    </row>
    <row r="48" spans="1:27">
      <c r="A48" s="435"/>
      <c r="B48" s="435"/>
      <c r="C48" s="507" t="s">
        <v>810</v>
      </c>
      <c r="D48" s="422"/>
      <c r="E48" s="508" t="s">
        <v>811</v>
      </c>
      <c r="F48" s="435"/>
      <c r="G48" s="435"/>
      <c r="H48" s="506" t="s">
        <v>921</v>
      </c>
      <c r="I48" s="491">
        <f>KALKULATOR!B294*I47*1000</f>
        <v>0</v>
      </c>
    </row>
    <row r="49" spans="1:34" ht="15" thickBot="1">
      <c r="A49" s="435"/>
      <c r="B49" s="435"/>
      <c r="C49" s="506" t="s">
        <v>269</v>
      </c>
      <c r="D49" s="417"/>
      <c r="E49" s="435"/>
      <c r="F49" s="435"/>
      <c r="G49" s="435"/>
      <c r="H49" s="435"/>
      <c r="I49" s="435"/>
    </row>
    <row r="50" spans="1:34" ht="18">
      <c r="A50" s="463"/>
      <c r="B50" s="547" t="s">
        <v>740</v>
      </c>
      <c r="C50" s="545">
        <f>UNOS!$B$191</f>
        <v>0</v>
      </c>
      <c r="D50" s="463"/>
      <c r="E50" s="464" t="s">
        <v>741</v>
      </c>
      <c r="F50" s="545">
        <f>UNOS!$F$191</f>
        <v>0</v>
      </c>
      <c r="G50" s="436"/>
      <c r="H50" s="464" t="s">
        <v>742</v>
      </c>
      <c r="I50" s="551">
        <f>IF(ISNUMBER(D46/F50),D46/F50,0)</f>
        <v>0</v>
      </c>
      <c r="K50" s="482">
        <v>15</v>
      </c>
      <c r="L50" s="9" t="s">
        <v>819</v>
      </c>
      <c r="X50" s="54" t="s">
        <v>390</v>
      </c>
      <c r="AH50" s="9" t="s">
        <v>802</v>
      </c>
    </row>
    <row r="51" spans="1:34" ht="18.600000000000001" thickBot="1">
      <c r="A51" s="465"/>
      <c r="B51" s="548" t="s">
        <v>814</v>
      </c>
      <c r="C51" s="546">
        <f>IF(ISNUMBER(F51/KALKULATOR!B295),F51/KALKULATOR!B295,0)</f>
        <v>0</v>
      </c>
      <c r="D51" s="465"/>
      <c r="E51" s="548" t="s">
        <v>945</v>
      </c>
      <c r="F51" s="549">
        <f>KALKULATOR!B297</f>
        <v>0</v>
      </c>
      <c r="G51" s="437"/>
      <c r="H51" s="550" t="s">
        <v>815</v>
      </c>
      <c r="I51" s="552">
        <f>IF(ISNUMBER(D46/(K50*F51)),D46/(K50*F51),0)</f>
        <v>0</v>
      </c>
      <c r="X51" s="54" t="s">
        <v>389</v>
      </c>
      <c r="AH51" s="9" t="s">
        <v>803</v>
      </c>
    </row>
    <row r="52" spans="1:34">
      <c r="X52" s="54" t="s">
        <v>392</v>
      </c>
    </row>
    <row r="54" spans="1:34">
      <c r="X54" s="126" t="s">
        <v>821</v>
      </c>
    </row>
    <row r="55" spans="1:34" ht="28.8">
      <c r="X55" s="126" t="s">
        <v>580</v>
      </c>
    </row>
    <row r="56" spans="1:34" ht="28.8">
      <c r="X56" s="126" t="s">
        <v>582</v>
      </c>
    </row>
    <row r="57" spans="1:34" ht="28.8">
      <c r="X57" s="126" t="s">
        <v>584</v>
      </c>
    </row>
    <row r="58" spans="1:34">
      <c r="X58" s="126" t="s">
        <v>586</v>
      </c>
    </row>
    <row r="59" spans="1:34" ht="28.8">
      <c r="X59" s="126" t="s">
        <v>588</v>
      </c>
    </row>
    <row r="60" spans="1:34">
      <c r="X60" s="126" t="s">
        <v>590</v>
      </c>
    </row>
    <row r="61" spans="1:34" ht="28.8">
      <c r="X61" s="126" t="s">
        <v>592</v>
      </c>
    </row>
    <row r="62" spans="1:34" ht="28.8">
      <c r="X62" s="126" t="s">
        <v>594</v>
      </c>
    </row>
    <row r="63" spans="1:34">
      <c r="X63" s="126" t="s">
        <v>596</v>
      </c>
    </row>
    <row r="64" spans="1:34" ht="28.8">
      <c r="X64" s="126" t="s">
        <v>598</v>
      </c>
    </row>
    <row r="65" spans="24:24">
      <c r="X65" s="126" t="s">
        <v>600</v>
      </c>
    </row>
    <row r="66" spans="24:24">
      <c r="X66" s="125" t="s">
        <v>602</v>
      </c>
    </row>
    <row r="67" spans="24:24" ht="43.2">
      <c r="X67" s="126" t="s">
        <v>603</v>
      </c>
    </row>
    <row r="68" spans="24:24">
      <c r="X68" s="125" t="s">
        <v>604</v>
      </c>
    </row>
    <row r="69" spans="24:24" ht="28.8">
      <c r="X69" s="126" t="s">
        <v>605</v>
      </c>
    </row>
    <row r="70" spans="24:24">
      <c r="X70" s="126" t="s">
        <v>607</v>
      </c>
    </row>
    <row r="71" spans="24:24">
      <c r="X71" s="126" t="s">
        <v>608</v>
      </c>
    </row>
    <row r="72" spans="24:24">
      <c r="X72" s="126" t="s">
        <v>609</v>
      </c>
    </row>
    <row r="73" spans="24:24">
      <c r="X73" s="126" t="s">
        <v>611</v>
      </c>
    </row>
    <row r="74" spans="24:24">
      <c r="X74" s="126" t="s">
        <v>613</v>
      </c>
    </row>
    <row r="75" spans="24:24">
      <c r="X75" s="126" t="s">
        <v>615</v>
      </c>
    </row>
    <row r="76" spans="24:24">
      <c r="X76" s="126" t="s">
        <v>617</v>
      </c>
    </row>
    <row r="77" spans="24:24" ht="28.8">
      <c r="X77" s="126" t="s">
        <v>618</v>
      </c>
    </row>
    <row r="78" spans="24:24">
      <c r="X78" s="126" t="s">
        <v>620</v>
      </c>
    </row>
    <row r="79" spans="24:24" ht="28.8">
      <c r="X79" s="126" t="s">
        <v>622</v>
      </c>
    </row>
    <row r="80" spans="24:24">
      <c r="X80" s="126" t="s">
        <v>623</v>
      </c>
    </row>
    <row r="81" spans="24:24" ht="28.8">
      <c r="X81" s="126" t="s">
        <v>624</v>
      </c>
    </row>
    <row r="82" spans="24:24" ht="28.8">
      <c r="X82" s="126" t="s">
        <v>822</v>
      </c>
    </row>
    <row r="83" spans="24:24" ht="43.2">
      <c r="X83" s="126" t="s">
        <v>625</v>
      </c>
    </row>
    <row r="84" spans="24:24" ht="28.8">
      <c r="X84" s="126" t="s">
        <v>626</v>
      </c>
    </row>
    <row r="85" spans="24:24" ht="28.8">
      <c r="X85" s="126" t="s">
        <v>628</v>
      </c>
    </row>
    <row r="86" spans="24:24" ht="28.8">
      <c r="X86" s="126" t="s">
        <v>629</v>
      </c>
    </row>
    <row r="87" spans="24:24" ht="28.8">
      <c r="X87" s="126" t="s">
        <v>630</v>
      </c>
    </row>
    <row r="88" spans="24:24">
      <c r="X88" s="126" t="s">
        <v>619</v>
      </c>
    </row>
    <row r="89" spans="24:24">
      <c r="X89" s="126" t="s">
        <v>823</v>
      </c>
    </row>
    <row r="90" spans="24:24">
      <c r="X90" s="126" t="s">
        <v>631</v>
      </c>
    </row>
    <row r="91" spans="24:24" ht="28.8">
      <c r="X91" s="126" t="s">
        <v>632</v>
      </c>
    </row>
    <row r="92" spans="24:24">
      <c r="X92" s="126" t="s">
        <v>606</v>
      </c>
    </row>
    <row r="93" spans="24:24">
      <c r="X93" s="126" t="s">
        <v>824</v>
      </c>
    </row>
    <row r="94" spans="24:24">
      <c r="X94" s="125" t="s">
        <v>634</v>
      </c>
    </row>
    <row r="95" spans="24:24" ht="43.2">
      <c r="X95" s="126" t="s">
        <v>635</v>
      </c>
    </row>
    <row r="96" spans="24:24">
      <c r="X96" s="126" t="s">
        <v>636</v>
      </c>
    </row>
    <row r="97" spans="24:24" ht="28.8">
      <c r="X97" s="126" t="s">
        <v>637</v>
      </c>
    </row>
    <row r="98" spans="24:24" ht="28.8">
      <c r="X98" s="126" t="s">
        <v>639</v>
      </c>
    </row>
    <row r="99" spans="24:24">
      <c r="X99" s="126" t="s">
        <v>640</v>
      </c>
    </row>
    <row r="100" spans="24:24">
      <c r="X100" s="126" t="s">
        <v>641</v>
      </c>
    </row>
    <row r="101" spans="24:24" ht="28.8">
      <c r="X101" s="126" t="s">
        <v>642</v>
      </c>
    </row>
    <row r="102" spans="24:24">
      <c r="X102" s="126" t="s">
        <v>644</v>
      </c>
    </row>
    <row r="103" spans="24:24" ht="28.8">
      <c r="X103" s="126" t="s">
        <v>825</v>
      </c>
    </row>
    <row r="104" spans="24:24">
      <c r="X104" s="126" t="s">
        <v>616</v>
      </c>
    </row>
    <row r="105" spans="24:24" ht="28.8">
      <c r="X105" s="126" t="s">
        <v>646</v>
      </c>
    </row>
    <row r="106" spans="24:24">
      <c r="X106" s="126" t="s">
        <v>647</v>
      </c>
    </row>
    <row r="107" spans="24:24" ht="28.8">
      <c r="X107" s="126" t="s">
        <v>645</v>
      </c>
    </row>
    <row r="108" spans="24:24" ht="28.8">
      <c r="X108" s="126" t="s">
        <v>648</v>
      </c>
    </row>
    <row r="109" spans="24:24">
      <c r="X109" s="126" t="s">
        <v>649</v>
      </c>
    </row>
    <row r="110" spans="24:24">
      <c r="X110" s="126" t="s">
        <v>650</v>
      </c>
    </row>
    <row r="111" spans="24:24">
      <c r="X111" s="126" t="s">
        <v>651</v>
      </c>
    </row>
    <row r="112" spans="24:24">
      <c r="X112" s="126" t="s">
        <v>653</v>
      </c>
    </row>
    <row r="113" spans="24:24">
      <c r="X113" s="126" t="s">
        <v>826</v>
      </c>
    </row>
    <row r="114" spans="24:24">
      <c r="X114" s="126" t="s">
        <v>654</v>
      </c>
    </row>
    <row r="115" spans="24:24" ht="28.8">
      <c r="X115" s="126" t="s">
        <v>655</v>
      </c>
    </row>
    <row r="116" spans="24:24" ht="28.8">
      <c r="X116" s="126" t="s">
        <v>656</v>
      </c>
    </row>
    <row r="117" spans="24:24">
      <c r="X117" s="126" t="s">
        <v>657</v>
      </c>
    </row>
    <row r="118" spans="24:24">
      <c r="X118" s="126" t="s">
        <v>658</v>
      </c>
    </row>
    <row r="119" spans="24:24">
      <c r="X119" s="125" t="s">
        <v>827</v>
      </c>
    </row>
    <row r="120" spans="24:24" ht="28.8">
      <c r="X120" s="126" t="s">
        <v>659</v>
      </c>
    </row>
    <row r="121" spans="24:24" ht="28.8">
      <c r="X121" s="126" t="s">
        <v>599</v>
      </c>
    </row>
    <row r="122" spans="24:24">
      <c r="X122" s="126" t="s">
        <v>633</v>
      </c>
    </row>
    <row r="123" spans="24:24">
      <c r="X123" s="126" t="s">
        <v>733</v>
      </c>
    </row>
    <row r="124" spans="24:24" ht="28.8">
      <c r="X124" s="126" t="s">
        <v>581</v>
      </c>
    </row>
    <row r="125" spans="24:24">
      <c r="X125" s="126" t="s">
        <v>660</v>
      </c>
    </row>
    <row r="126" spans="24:24" ht="28.8">
      <c r="X126" s="126" t="s">
        <v>610</v>
      </c>
    </row>
    <row r="127" spans="24:24">
      <c r="X127" s="126" t="s">
        <v>661</v>
      </c>
    </row>
    <row r="128" spans="24:24" ht="28.8">
      <c r="X128" s="126" t="s">
        <v>662</v>
      </c>
    </row>
    <row r="129" spans="24:24">
      <c r="X129" s="126" t="s">
        <v>828</v>
      </c>
    </row>
    <row r="130" spans="24:24">
      <c r="X130" s="126" t="s">
        <v>663</v>
      </c>
    </row>
    <row r="131" spans="24:24">
      <c r="X131" s="126" t="s">
        <v>664</v>
      </c>
    </row>
    <row r="132" spans="24:24" ht="28.8">
      <c r="X132" s="126" t="s">
        <v>614</v>
      </c>
    </row>
    <row r="133" spans="24:24">
      <c r="X133" s="126" t="s">
        <v>627</v>
      </c>
    </row>
    <row r="134" spans="24:24">
      <c r="X134" s="126" t="s">
        <v>665</v>
      </c>
    </row>
    <row r="135" spans="24:24" ht="28.8">
      <c r="X135" s="126" t="s">
        <v>595</v>
      </c>
    </row>
    <row r="136" spans="24:24" ht="28.8">
      <c r="X136" s="126" t="s">
        <v>666</v>
      </c>
    </row>
    <row r="137" spans="24:24" ht="28.8">
      <c r="X137" s="126" t="s">
        <v>668</v>
      </c>
    </row>
    <row r="138" spans="24:24" ht="28.8">
      <c r="X138" s="126" t="s">
        <v>669</v>
      </c>
    </row>
    <row r="139" spans="24:24" ht="28.8">
      <c r="X139" s="126" t="s">
        <v>670</v>
      </c>
    </row>
    <row r="140" spans="24:24">
      <c r="X140" s="126" t="s">
        <v>829</v>
      </c>
    </row>
    <row r="141" spans="24:24" ht="28.8">
      <c r="X141" s="126" t="s">
        <v>671</v>
      </c>
    </row>
    <row r="142" spans="24:24" ht="28.8">
      <c r="X142" s="126" t="s">
        <v>830</v>
      </c>
    </row>
    <row r="143" spans="24:24">
      <c r="X143" s="125" t="s">
        <v>672</v>
      </c>
    </row>
    <row r="144" spans="24:24">
      <c r="X144" s="126" t="s">
        <v>667</v>
      </c>
    </row>
    <row r="145" spans="24:24">
      <c r="X145" s="126" t="s">
        <v>583</v>
      </c>
    </row>
    <row r="146" spans="24:24" ht="28.8">
      <c r="X146" s="126" t="s">
        <v>673</v>
      </c>
    </row>
    <row r="147" spans="24:24" ht="28.8">
      <c r="X147" s="126" t="s">
        <v>675</v>
      </c>
    </row>
    <row r="148" spans="24:24" ht="28.8">
      <c r="X148" s="126" t="s">
        <v>831</v>
      </c>
    </row>
    <row r="149" spans="24:24" ht="28.8">
      <c r="X149" s="126" t="s">
        <v>676</v>
      </c>
    </row>
    <row r="150" spans="24:24" ht="43.2">
      <c r="X150" s="126" t="s">
        <v>677</v>
      </c>
    </row>
    <row r="151" spans="24:24" ht="28.8">
      <c r="X151" s="126" t="s">
        <v>678</v>
      </c>
    </row>
    <row r="152" spans="24:24" ht="28.8">
      <c r="X152" s="126" t="s">
        <v>601</v>
      </c>
    </row>
    <row r="153" spans="24:24" ht="28.8">
      <c r="X153" s="126" t="s">
        <v>679</v>
      </c>
    </row>
    <row r="154" spans="24:24">
      <c r="X154" s="126" t="s">
        <v>681</v>
      </c>
    </row>
    <row r="155" spans="24:24">
      <c r="X155" s="126" t="s">
        <v>682</v>
      </c>
    </row>
    <row r="156" spans="24:24" ht="28.8">
      <c r="X156" s="126" t="s">
        <v>683</v>
      </c>
    </row>
    <row r="157" spans="24:24">
      <c r="X157" s="126" t="s">
        <v>684</v>
      </c>
    </row>
    <row r="158" spans="24:24">
      <c r="X158" s="126" t="s">
        <v>685</v>
      </c>
    </row>
    <row r="159" spans="24:24" ht="43.2">
      <c r="X159" s="126" t="s">
        <v>686</v>
      </c>
    </row>
    <row r="160" spans="24:24">
      <c r="X160" s="125" t="s">
        <v>687</v>
      </c>
    </row>
    <row r="161" spans="24:24">
      <c r="X161" s="126" t="s">
        <v>593</v>
      </c>
    </row>
    <row r="162" spans="24:24" ht="28.8">
      <c r="X162" s="126" t="s">
        <v>688</v>
      </c>
    </row>
    <row r="163" spans="24:24">
      <c r="X163" s="125" t="s">
        <v>689</v>
      </c>
    </row>
    <row r="164" spans="24:24">
      <c r="X164" s="126" t="s">
        <v>591</v>
      </c>
    </row>
    <row r="165" spans="24:24">
      <c r="X165" s="125" t="s">
        <v>690</v>
      </c>
    </row>
    <row r="166" spans="24:24">
      <c r="X166" s="126" t="s">
        <v>691</v>
      </c>
    </row>
    <row r="167" spans="24:24" ht="28.8">
      <c r="X167" s="126" t="s">
        <v>693</v>
      </c>
    </row>
    <row r="168" spans="24:24" ht="28.8">
      <c r="X168" s="126" t="s">
        <v>694</v>
      </c>
    </row>
    <row r="169" spans="24:24" ht="28.8">
      <c r="X169" s="126" t="s">
        <v>695</v>
      </c>
    </row>
    <row r="170" spans="24:24">
      <c r="X170" s="126" t="s">
        <v>696</v>
      </c>
    </row>
    <row r="171" spans="24:24">
      <c r="X171" s="125" t="s">
        <v>86</v>
      </c>
    </row>
    <row r="172" spans="24:24" ht="28.8">
      <c r="X172" s="126" t="s">
        <v>697</v>
      </c>
    </row>
    <row r="173" spans="24:24" ht="28.8">
      <c r="X173" s="126" t="s">
        <v>698</v>
      </c>
    </row>
    <row r="174" spans="24:24">
      <c r="X174" s="126" t="s">
        <v>699</v>
      </c>
    </row>
    <row r="175" spans="24:24">
      <c r="X175" s="126" t="s">
        <v>700</v>
      </c>
    </row>
    <row r="176" spans="24:24" ht="28.8">
      <c r="X176" s="126" t="s">
        <v>701</v>
      </c>
    </row>
    <row r="177" spans="24:24" ht="43.2">
      <c r="X177" s="126" t="s">
        <v>589</v>
      </c>
    </row>
    <row r="178" spans="24:24" ht="28.8">
      <c r="X178" s="126" t="s">
        <v>702</v>
      </c>
    </row>
    <row r="179" spans="24:24">
      <c r="X179" s="126" t="s">
        <v>587</v>
      </c>
    </row>
    <row r="180" spans="24:24" ht="28.8">
      <c r="X180" s="126" t="s">
        <v>703</v>
      </c>
    </row>
    <row r="181" spans="24:24" ht="43.2">
      <c r="X181" s="126" t="s">
        <v>612</v>
      </c>
    </row>
    <row r="182" spans="24:24" ht="43.2">
      <c r="X182" s="126" t="s">
        <v>704</v>
      </c>
    </row>
    <row r="183" spans="24:24" ht="28.8">
      <c r="X183" s="126" t="s">
        <v>705</v>
      </c>
    </row>
    <row r="184" spans="24:24" ht="28.8">
      <c r="X184" s="126" t="s">
        <v>832</v>
      </c>
    </row>
    <row r="185" spans="24:24" ht="28.8">
      <c r="X185" s="126" t="s">
        <v>706</v>
      </c>
    </row>
    <row r="186" spans="24:24">
      <c r="X186" s="126" t="s">
        <v>680</v>
      </c>
    </row>
    <row r="187" spans="24:24">
      <c r="X187" s="126" t="s">
        <v>707</v>
      </c>
    </row>
    <row r="188" spans="24:24">
      <c r="X188" s="126" t="s">
        <v>708</v>
      </c>
    </row>
    <row r="189" spans="24:24">
      <c r="X189" s="126" t="s">
        <v>709</v>
      </c>
    </row>
    <row r="190" spans="24:24" ht="28.8">
      <c r="X190" s="126" t="s">
        <v>710</v>
      </c>
    </row>
    <row r="191" spans="24:24">
      <c r="X191" s="125" t="s">
        <v>711</v>
      </c>
    </row>
    <row r="192" spans="24:24">
      <c r="X192" s="126" t="s">
        <v>712</v>
      </c>
    </row>
    <row r="193" spans="24:24">
      <c r="X193" s="126" t="s">
        <v>638</v>
      </c>
    </row>
    <row r="194" spans="24:24">
      <c r="X194" s="125" t="s">
        <v>713</v>
      </c>
    </row>
    <row r="195" spans="24:24">
      <c r="X195" s="126" t="s">
        <v>714</v>
      </c>
    </row>
    <row r="196" spans="24:24">
      <c r="X196" s="126" t="s">
        <v>716</v>
      </c>
    </row>
    <row r="197" spans="24:24">
      <c r="X197" s="126" t="s">
        <v>833</v>
      </c>
    </row>
    <row r="198" spans="24:24">
      <c r="X198" s="126" t="s">
        <v>717</v>
      </c>
    </row>
    <row r="199" spans="24:24">
      <c r="X199" s="126" t="s">
        <v>718</v>
      </c>
    </row>
  </sheetData>
  <sheetProtection selectLockedCells="1"/>
  <dataValidations count="33">
    <dataValidation type="list" allowBlank="1" showInputMessage="1" showErrorMessage="1" sqref="I8:L8" xr:uid="{A06341CE-15DB-4488-A210-3046BB074EC9}">
      <formula1>$X$50:$X$52</formula1>
    </dataValidation>
    <dataValidation type="list" allowBlank="1" showInputMessage="1" showErrorMessage="1" sqref="D7 D39" xr:uid="{7EFC3EB1-00D8-4FB6-BDBC-4FADDA0CC42A}">
      <formula1>$X$40:$X$47</formula1>
    </dataValidation>
    <dataValidation type="list" allowBlank="1" showInputMessage="1" showErrorMessage="1" sqref="D6" xr:uid="{9B45EA2E-39EA-4EA9-81B7-93E2828A92FC}">
      <formula1>$X$31:$X$37</formula1>
    </dataValidation>
    <dataValidation type="list" allowBlank="1" showInputMessage="1" showErrorMessage="1" sqref="I15" xr:uid="{9C6EEEF7-B344-4D24-84D8-9C53763C69F2}">
      <formula1>$AA$31:$AA$32</formula1>
    </dataValidation>
    <dataValidation type="list" allowBlank="1" showInputMessage="1" showErrorMessage="1" sqref="D18" xr:uid="{33E7EA95-BD0A-4345-8238-E4C890820B5B}">
      <formula1>$AA$27:$AA$29</formula1>
    </dataValidation>
    <dataValidation type="list" allowBlank="1" showInputMessage="1" showErrorMessage="1" sqref="D17" xr:uid="{799B41B2-50E8-428F-97DD-0447F1F36F4A}">
      <formula1>$AA$24:$AA$25</formula1>
    </dataValidation>
    <dataValidation type="list" allowBlank="1" showInputMessage="1" showErrorMessage="1" sqref="I31:I33" xr:uid="{1A051007-FE44-4C49-8131-55AC5844AF02}">
      <formula1>$X$24:$X$25</formula1>
    </dataValidation>
    <dataValidation type="list" allowBlank="1" showInputMessage="1" showErrorMessage="1" sqref="D31" xr:uid="{641608F2-ED43-47AB-9589-847D288FC791}">
      <formula1>$AA$44:$AA$46</formula1>
    </dataValidation>
    <dataValidation type="list" allowBlank="1" showInputMessage="1" showErrorMessage="1" sqref="D49" xr:uid="{68BE3406-E96F-48D9-A7DE-79AACE2C308D}">
      <formula1>$AA$41:$AA$42</formula1>
    </dataValidation>
    <dataValidation type="list" allowBlank="1" showInputMessage="1" showErrorMessage="1" sqref="I4" xr:uid="{04740434-9571-48ED-B238-17536EE214EE}">
      <formula1>$X$27:$X$29</formula1>
    </dataValidation>
    <dataValidation type="list" allowBlank="1" showInputMessage="1" showErrorMessage="1" sqref="D16" xr:uid="{B0C6D339-062A-420C-90F5-70E4DE514F0E}">
      <formula1>$AD$24:$AD$26</formula1>
    </dataValidation>
    <dataValidation type="list" allowBlank="1" showInputMessage="1" showErrorMessage="1" sqref="I18" xr:uid="{CE93966B-56F5-4A77-8E74-EC9DAE9CA4B8}">
      <formula1>$AE$24:$AE$26</formula1>
    </dataValidation>
    <dataValidation type="list" allowBlank="1" showInputMessage="1" showErrorMessage="1" sqref="I5:L5" xr:uid="{C63E240B-34CC-4E3D-B46A-5811AE708EE7}">
      <formula1>$W$27:$W$29</formula1>
    </dataValidation>
    <dataValidation type="list" allowBlank="1" showInputMessage="1" showErrorMessage="1" sqref="D11" xr:uid="{438BA8C4-2179-4AD0-B6DB-140B0A139CF1}">
      <formula1>$AH$50:$AH$51</formula1>
    </dataValidation>
    <dataValidation type="decimal" allowBlank="1" showInputMessage="1" showErrorMessage="1" sqref="I6" xr:uid="{E33377F7-4CDA-4E32-8856-4C73645FDB4B}">
      <formula1>10</formula1>
      <formula2>1000</formula2>
    </dataValidation>
    <dataValidation type="decimal" allowBlank="1" showInputMessage="1" showErrorMessage="1" sqref="I7" xr:uid="{A20D8BE1-F563-4F70-A75E-1B79BD2629C1}">
      <formula1>2</formula1>
      <formula2>5</formula2>
    </dataValidation>
    <dataValidation type="decimal" allowBlank="1" showInputMessage="1" showErrorMessage="1" sqref="D14 D23 D30 D38 D46" xr:uid="{70C5E1EC-61F1-453D-87C4-FD814B3DAF02}">
      <formula1>1000</formula1>
      <formula2>5000000</formula2>
    </dataValidation>
    <dataValidation type="decimal" allowBlank="1" showInputMessage="1" showErrorMessage="1" sqref="D15" xr:uid="{ACCECDFC-AD8F-44B9-8742-801FC7822C58}">
      <formula1>0.5</formula1>
      <formula2>100</formula2>
    </dataValidation>
    <dataValidation type="decimal" allowBlank="1" showInputMessage="1" showErrorMessage="1" sqref="I14" xr:uid="{C786D947-7104-418A-B1E2-96A13C42FA22}">
      <formula1>0.1</formula1>
      <formula2>10</formula2>
    </dataValidation>
    <dataValidation type="decimal" allowBlank="1" showInputMessage="1" showErrorMessage="1" sqref="I16:I17" xr:uid="{FD62DC47-DCA8-438C-8BB8-446662101096}">
      <formula1>0.1</formula1>
      <formula2>3</formula2>
    </dataValidation>
    <dataValidation type="decimal" allowBlank="1" showInputMessage="1" showErrorMessage="1" sqref="D25" xr:uid="{E78AAD8B-D8C2-4395-8D8E-3A348AACB6C6}">
      <formula1>5</formula1>
      <formula2>150</formula2>
    </dataValidation>
    <dataValidation type="decimal" allowBlank="1" showInputMessage="1" showErrorMessage="1" sqref="I23" xr:uid="{B6DF809B-9CE9-4A2B-8C47-822D8CA8C9FA}">
      <formula1>1</formula1>
      <formula2>1000</formula2>
    </dataValidation>
    <dataValidation type="decimal" allowBlank="1" showInputMessage="1" showErrorMessage="1" sqref="D48 D8 D32 D40 D10" xr:uid="{3975FCEC-AF79-4EEA-8CD3-8F07F8A5D2F5}">
      <formula1>0.1</formula1>
      <formula2>100000</formula2>
    </dataValidation>
    <dataValidation type="decimal" allowBlank="1" showInputMessage="1" showErrorMessage="1" sqref="I30" xr:uid="{47D1FE31-7A5C-4F38-82FA-EDA5462ED216}">
      <formula1>0.1</formula1>
      <formula2>15</formula2>
    </dataValidation>
    <dataValidation type="decimal" allowBlank="1" showInputMessage="1" showErrorMessage="1" sqref="I39" xr:uid="{941E2442-3CCC-412C-A5E4-6920076624ED}">
      <formula1>0.1</formula1>
      <formula2>50</formula2>
    </dataValidation>
    <dataValidation type="decimal" allowBlank="1" showInputMessage="1" showErrorMessage="1" sqref="I40" xr:uid="{D94B9FF5-112D-48D4-A483-93176C07A83A}">
      <formula1>0.1</formula1>
      <formula2>1</formula2>
    </dataValidation>
    <dataValidation type="whole" allowBlank="1" showInputMessage="1" showErrorMessage="1" sqref="D41" xr:uid="{357F062C-F071-4FC9-8521-398C9C95879F}">
      <formula1>1</formula1>
      <formula2>101</formula2>
    </dataValidation>
    <dataValidation type="decimal" allowBlank="1" showInputMessage="1" showErrorMessage="1" sqref="D47:D48" xr:uid="{5686DEF2-FC36-41C7-9DEE-2CFE780C9356}">
      <formula1>100</formula1>
      <formula2>50000</formula2>
    </dataValidation>
    <dataValidation type="decimal" allowBlank="1" showInputMessage="1" showErrorMessage="1" sqref="I47" xr:uid="{FD5F9671-1930-43C5-B2BE-5800AA9C728D}">
      <formula1>0.01</formula1>
      <formula2>50</formula2>
    </dataValidation>
    <dataValidation type="list" allowBlank="1" showInputMessage="1" showErrorMessage="1" sqref="D4" xr:uid="{7EA7F1AD-C2BB-4887-AA03-497CF2F2FAD4}">
      <formula1>$X$54:$X$199</formula1>
    </dataValidation>
    <dataValidation type="decimal" allowBlank="1" showInputMessage="1" showErrorMessage="1" sqref="I24" xr:uid="{E495F738-1EBF-4A14-B7E2-DB232F78E269}">
      <formula1>1</formula1>
      <formula2>50</formula2>
    </dataValidation>
    <dataValidation type="decimal" allowBlank="1" showInputMessage="1" showErrorMessage="1" sqref="I25" xr:uid="{0D2B8B6F-E297-45D1-AE91-C266A9F53B24}">
      <formula1>0.001</formula1>
      <formula2>0.15</formula2>
    </dataValidation>
    <dataValidation type="list" allowBlank="1" showInputMessage="1" showErrorMessage="1" sqref="D24" xr:uid="{7FEFE4DF-0BB6-40B9-9A82-ECCA3547896D}">
      <formula1>$AA$34:$AA$38</formula1>
    </dataValidation>
  </dataValidations>
  <pageMargins left="0.7" right="0.7" top="0.75" bottom="0.75" header="0.3" footer="0.3"/>
  <pageSetup paperSize="9" scale="4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E335-9539-4AAE-8AF2-52935749ED16}">
  <sheetPr codeName="Sheet2"/>
  <dimension ref="A1:AO325"/>
  <sheetViews>
    <sheetView topLeftCell="A123" zoomScaleNormal="100" workbookViewId="0">
      <selection activeCell="C135" sqref="C135"/>
    </sheetView>
  </sheetViews>
  <sheetFormatPr defaultRowHeight="14.4"/>
  <cols>
    <col min="1" max="1" width="44.5546875" style="9" customWidth="1"/>
    <col min="2" max="6" width="22.6640625" style="9" customWidth="1"/>
    <col min="7" max="7" width="8.88671875" style="9"/>
    <col min="8" max="8" width="10.6640625" style="9" bestFit="1" customWidth="1"/>
    <col min="9" max="10" width="8.88671875" style="9"/>
    <col min="11" max="11" width="14.6640625" style="9" customWidth="1"/>
    <col min="12" max="12" width="8.88671875" style="9"/>
    <col min="13" max="13" width="9.109375" style="9" customWidth="1"/>
    <col min="14" max="14" width="8.88671875" style="9"/>
    <col min="15" max="15" width="11.5546875" style="9" customWidth="1"/>
    <col min="16" max="16" width="8.88671875" style="9"/>
    <col min="17" max="17" width="14.6640625" style="9" customWidth="1"/>
    <col min="18" max="21" width="10.109375" style="9" customWidth="1"/>
    <col min="22" max="22" width="8.88671875" style="9"/>
    <col min="23" max="23" width="13.33203125" style="9" customWidth="1"/>
    <col min="24" max="24" width="8.88671875" style="9"/>
    <col min="25" max="25" width="13.33203125" style="9" customWidth="1"/>
    <col min="26" max="29" width="8.88671875" style="9"/>
    <col min="30" max="30" width="13.33203125" style="9" customWidth="1"/>
    <col min="31" max="16384" width="8.88671875" style="9"/>
  </cols>
  <sheetData>
    <row r="1" spans="1:17">
      <c r="A1" s="9" t="str">
        <f>'O KALKULATORU'!A1</f>
        <v>12.11.24</v>
      </c>
      <c r="B1" s="9" t="str">
        <f>'O KALKULATORU'!B1</f>
        <v xml:space="preserve"> -верзија</v>
      </c>
      <c r="P1" s="9" t="str">
        <f>'O KALKULATORU'!P1</f>
        <v>Аутор:</v>
      </c>
      <c r="Q1" s="9" t="str">
        <f>'O KALKULATORU'!Q1</f>
        <v>Живојин Ступаревић, дипл.инш.маш.</v>
      </c>
    </row>
    <row r="2" spans="1:17" ht="23.4">
      <c r="B2" s="124" t="s">
        <v>333</v>
      </c>
    </row>
    <row r="3" spans="1:17">
      <c r="B3" s="142"/>
    </row>
    <row r="4" spans="1:17">
      <c r="B4" s="9" t="s">
        <v>87</v>
      </c>
    </row>
    <row r="5" spans="1:17">
      <c r="A5" s="21">
        <v>1</v>
      </c>
      <c r="B5" s="9" t="s">
        <v>515</v>
      </c>
    </row>
    <row r="6" spans="1:17">
      <c r="A6" s="21"/>
      <c r="B6" s="9" t="s">
        <v>519</v>
      </c>
    </row>
    <row r="7" spans="1:17">
      <c r="A7" s="21"/>
      <c r="B7" s="9" t="s">
        <v>520</v>
      </c>
    </row>
    <row r="8" spans="1:17" ht="15.6">
      <c r="A8" s="21"/>
      <c r="B8" s="9" t="s">
        <v>407</v>
      </c>
    </row>
    <row r="9" spans="1:17">
      <c r="A9" s="21">
        <v>2</v>
      </c>
      <c r="B9" s="143" t="str">
        <f>CONCATENATE("Узет је у обзир прекид грејања коефицијентом у вредности од ",C28)</f>
        <v>Узет је у обзир прекид грејања коефицијентом у вредности од 0.85</v>
      </c>
    </row>
    <row r="10" spans="1:17">
      <c r="A10" s="21">
        <v>3</v>
      </c>
      <c r="B10" s="9" t="s">
        <v>88</v>
      </c>
    </row>
    <row r="11" spans="1:17">
      <c r="A11" s="21">
        <v>4</v>
      </c>
      <c r="B11" s="9" t="s">
        <v>521</v>
      </c>
    </row>
    <row r="12" spans="1:17">
      <c r="A12" s="21">
        <v>5</v>
      </c>
      <c r="B12" s="9" t="s">
        <v>513</v>
      </c>
      <c r="L12" s="21"/>
    </row>
    <row r="13" spans="1:17">
      <c r="A13" s="21">
        <v>6</v>
      </c>
      <c r="B13" s="9" t="s">
        <v>334</v>
      </c>
      <c r="L13" s="21"/>
    </row>
    <row r="14" spans="1:17" ht="15.6">
      <c r="A14" s="21">
        <v>7</v>
      </c>
      <c r="B14" s="9" t="s">
        <v>522</v>
      </c>
      <c r="L14" s="21"/>
    </row>
    <row r="15" spans="1:17">
      <c r="A15" s="21">
        <v>8</v>
      </c>
      <c r="B15" s="9" t="s">
        <v>514</v>
      </c>
      <c r="L15" s="21"/>
    </row>
    <row r="17" spans="2:14" s="144" customFormat="1"/>
    <row r="19" spans="2:14">
      <c r="B19" s="21" t="s">
        <v>89</v>
      </c>
      <c r="L19" s="583"/>
      <c r="M19" s="583"/>
      <c r="N19" s="583"/>
    </row>
    <row r="20" spans="2:14">
      <c r="B20" s="145" t="s">
        <v>90</v>
      </c>
      <c r="C20" s="146" t="str">
        <f>IF(   UNOS!$C$5   =   "",   "   ! ! !   ПОПУНИТИ ЖУТА ПОЉА У ЗАПИСНИКУ   ! ! !   ",    UNOS!$C$5)</f>
        <v>Аранђеловац</v>
      </c>
    </row>
    <row r="21" spans="2:14">
      <c r="B21" s="145" t="s">
        <v>332</v>
      </c>
      <c r="C21" s="147" t="str">
        <f>VLOOKUP(C20,UNOS!B402:D547,3,FALSE)</f>
        <v>Смедеревска Паланка</v>
      </c>
    </row>
    <row r="22" spans="2:14">
      <c r="B22" s="145" t="s">
        <v>91</v>
      </c>
      <c r="C22" s="147">
        <f>VLOOKUP(C21,UNOS!B553:F600,5,FALSE)</f>
        <v>2554.6</v>
      </c>
    </row>
    <row r="23" spans="2:14">
      <c r="B23" s="145" t="s">
        <v>573</v>
      </c>
      <c r="C23" s="148">
        <f>VLOOKUP(C20,UNOS!B401:F547,2,FALSE)</f>
        <v>257</v>
      </c>
      <c r="D23" s="9" t="s">
        <v>0</v>
      </c>
    </row>
    <row r="24" spans="2:14" ht="16.2">
      <c r="B24" s="145" t="s">
        <v>197</v>
      </c>
      <c r="C24" s="147">
        <f>UNOS!F38</f>
        <v>80</v>
      </c>
      <c r="D24" s="9" t="s">
        <v>60</v>
      </c>
    </row>
    <row r="25" spans="2:14">
      <c r="B25" s="145" t="s">
        <v>196</v>
      </c>
      <c r="C25" s="147">
        <f>UNOS!F39</f>
        <v>2.7</v>
      </c>
      <c r="D25" s="9" t="s">
        <v>0</v>
      </c>
    </row>
    <row r="26" spans="2:14" ht="16.2">
      <c r="B26" s="145" t="s">
        <v>173</v>
      </c>
      <c r="C26" s="147">
        <f>C24*C25</f>
        <v>216</v>
      </c>
      <c r="D26" s="9" t="s">
        <v>172</v>
      </c>
    </row>
    <row r="27" spans="2:14">
      <c r="B27" s="145" t="s">
        <v>195</v>
      </c>
      <c r="C27" s="147" t="str">
        <f>IF(UNOS!L30=1,UNOS!C30,IF(UNOS!L31=1,UNOS!C31,IF(UNOS!L32=1,UNOS!C32,IF(UNOS!L33=1,UNOS!C33,IF(UNOS!L34=1,UNOS!C34,IF(UNOS!L35=1,UNOS!C35,IF(UNOS!L36=1,UNOS!C36,IF(UNOS!L37=1,UNOS!C37,"ПРОВЕРА"))))))))</f>
        <v>1961-1970</v>
      </c>
    </row>
    <row r="28" spans="2:14">
      <c r="B28" s="145" t="s">
        <v>198</v>
      </c>
      <c r="C28" s="149">
        <v>0.85</v>
      </c>
      <c r="D28" s="116"/>
    </row>
    <row r="29" spans="2:14">
      <c r="B29" s="145" t="s">
        <v>233</v>
      </c>
      <c r="C29" s="147" t="str">
        <f>IF(UNOS!L44=1,UNOS!C44,IF(UNOS!L45=1,UNOS!C45,IF(UNOS!L46=1,UNOS!C46,IF(UNOS!L47=1,UNOS!C47,IF(UNOS!L48=1,UNOS!C48,IF(UNOS!L49=1,UNOS!C49,IF(UNOS!L50=1,UNOS!C50,IF(UNOS!L51=1,UNOS!C51,"ПРОВЕРА"))))))))</f>
        <v>дрво</v>
      </c>
    </row>
    <row r="30" spans="2:14">
      <c r="B30" s="145" t="s">
        <v>417</v>
      </c>
      <c r="C30" s="147" t="str">
        <f>IF(UNOS!K25,UNOS!C25,IF(UNOS!K26,UNOS!C26,IF(UNOS!K27,UNOS!C27,"ПРОВЕРА")))</f>
        <v>Породична кућа</v>
      </c>
    </row>
    <row r="31" spans="2:14">
      <c r="B31" s="145" t="s">
        <v>418</v>
      </c>
      <c r="C31" s="147" t="str">
        <f>IF(UNOS!K9,UNOS!C9,IF(UNOS!K10,UNOS!C10,IF(UNOS!K11,UNOS!C11,IF(UNOS!K12,UNOS!C12,"ПРОВЕРА"))))</f>
        <v>Појединачна мера/мере</v>
      </c>
    </row>
    <row r="32" spans="2:14">
      <c r="B32" s="145" t="s">
        <v>419</v>
      </c>
      <c r="C32" s="147">
        <f>SUM(UNOS!L14:L23)</f>
        <v>4</v>
      </c>
    </row>
    <row r="33" spans="1:41" ht="15" thickBot="1">
      <c r="B33" s="145" t="s">
        <v>416</v>
      </c>
      <c r="C33" s="150">
        <f>IF(UNOS!K14,UNOS!C73,0)+IF(UNOS!K15,UNOS!K124,0)+IF(UNOS!K16,UNOS!L124,0)+IF(OR(UNOS!K17,UNOS!K18,UNOS!K19),UNOS!C127,0)+IF(UNOS!K20,UNOS!C149,0)+IF(UNOS!K21,UNOS!C173,0)+IF(UNOS!K22,UNOS!C186,0)</f>
        <v>1150000</v>
      </c>
    </row>
    <row r="34" spans="1:41" ht="14.4" customHeight="1">
      <c r="AH34" s="151"/>
      <c r="AI34" s="152"/>
      <c r="AJ34" s="595" t="s">
        <v>793</v>
      </c>
      <c r="AK34" s="595"/>
      <c r="AL34" s="595" t="s">
        <v>798</v>
      </c>
      <c r="AM34" s="595"/>
      <c r="AN34" s="595"/>
      <c r="AO34" s="612"/>
    </row>
    <row r="35" spans="1:41" ht="15" thickBot="1">
      <c r="A35" s="153" t="s">
        <v>343</v>
      </c>
      <c r="G35" s="153" t="s">
        <v>523</v>
      </c>
      <c r="AH35" s="154"/>
      <c r="AJ35" s="596"/>
      <c r="AK35" s="596"/>
      <c r="AL35" s="596"/>
      <c r="AM35" s="596"/>
      <c r="AN35" s="596"/>
      <c r="AO35" s="613"/>
    </row>
    <row r="36" spans="1:41" ht="16.2" thickBot="1">
      <c r="B36" s="155"/>
      <c r="C36" s="157" t="s">
        <v>409</v>
      </c>
      <c r="D36" s="157" t="s">
        <v>410</v>
      </c>
      <c r="E36" s="157" t="s">
        <v>138</v>
      </c>
      <c r="G36" s="158" t="s">
        <v>338</v>
      </c>
      <c r="H36" s="581" t="s">
        <v>277</v>
      </c>
      <c r="I36" s="582"/>
      <c r="J36" s="581" t="s">
        <v>278</v>
      </c>
      <c r="K36" s="582"/>
      <c r="L36" s="581" t="s">
        <v>354</v>
      </c>
      <c r="M36" s="582"/>
      <c r="N36" s="581" t="s">
        <v>279</v>
      </c>
      <c r="O36" s="582"/>
      <c r="P36" s="581" t="s">
        <v>355</v>
      </c>
      <c r="Q36" s="582"/>
      <c r="T36" s="21" t="s">
        <v>529</v>
      </c>
      <c r="AA36" s="21" t="s">
        <v>534</v>
      </c>
      <c r="AH36" s="154"/>
      <c r="AJ36" s="596" t="s">
        <v>794</v>
      </c>
      <c r="AK36" s="583" t="s">
        <v>795</v>
      </c>
      <c r="AL36" s="596" t="s">
        <v>794</v>
      </c>
      <c r="AM36" s="596" t="s">
        <v>796</v>
      </c>
      <c r="AN36" s="596" t="s">
        <v>795</v>
      </c>
      <c r="AO36" s="613" t="s">
        <v>797</v>
      </c>
    </row>
    <row r="37" spans="1:41" ht="17.399999999999999" thickBot="1">
      <c r="A37" s="12"/>
      <c r="B37" s="155" t="s">
        <v>141</v>
      </c>
      <c r="C37" s="157" t="s">
        <v>137</v>
      </c>
      <c r="D37" s="159" t="s">
        <v>137</v>
      </c>
      <c r="E37" s="157" t="s">
        <v>138</v>
      </c>
      <c r="G37" s="160" t="s">
        <v>337</v>
      </c>
      <c r="H37" s="161" t="s">
        <v>406</v>
      </c>
      <c r="I37" s="162" t="s">
        <v>447</v>
      </c>
      <c r="J37" s="161" t="s">
        <v>406</v>
      </c>
      <c r="K37" s="162" t="s">
        <v>447</v>
      </c>
      <c r="L37" s="161" t="s">
        <v>406</v>
      </c>
      <c r="M37" s="162" t="s">
        <v>447</v>
      </c>
      <c r="N37" s="161" t="s">
        <v>406</v>
      </c>
      <c r="O37" s="162" t="s">
        <v>447</v>
      </c>
      <c r="P37" s="161" t="s">
        <v>406</v>
      </c>
      <c r="Q37" s="162" t="s">
        <v>447</v>
      </c>
      <c r="T37" s="600" t="s">
        <v>530</v>
      </c>
      <c r="U37" s="601"/>
      <c r="V37" s="163" t="s">
        <v>531</v>
      </c>
      <c r="W37" s="163" t="s">
        <v>532</v>
      </c>
      <c r="X37" s="164" t="s">
        <v>538</v>
      </c>
      <c r="AA37" s="584" t="s">
        <v>537</v>
      </c>
      <c r="AB37" s="585"/>
      <c r="AC37" s="585"/>
      <c r="AD37" s="585"/>
      <c r="AE37" s="164" t="s">
        <v>539</v>
      </c>
      <c r="AH37" s="590" t="s">
        <v>792</v>
      </c>
      <c r="AI37" s="583"/>
      <c r="AJ37" s="597"/>
      <c r="AK37" s="583"/>
      <c r="AL37" s="597"/>
      <c r="AM37" s="597"/>
      <c r="AN37" s="597"/>
      <c r="AO37" s="614"/>
    </row>
    <row r="38" spans="1:41">
      <c r="A38" s="12"/>
      <c r="B38" s="112" t="s">
        <v>3</v>
      </c>
      <c r="C38" s="157">
        <f>IF('ENERGETSKI KALKULATOR'!$I$4='ENERGETSKI KALKULATOR'!$X$27,KALKULATOR!AJ39,IF('ENERGETSKI KALKULATOR'!$I$4='ENERGETSKI KALKULATOR'!$X$28,KALKULATOR!AK39,IF('ENERGETSKI KALKULATOR'!$I$5='ENERGETSKI KALKULATOR'!$W$27,KALKULATOR!AL39,IF('ENERGETSKI KALKULATOR'!$I$5='ENERGETSKI KALKULATOR'!$W$28,KALKULATOR!AM39,IF('ENERGETSKI KALKULATOR'!$I$5='ENERGETSKI KALKULATOR'!$W$29,AO39,"ИЗАБРАТИ ТИП ДОМАЋИНСТВА И ЗГРАДЕ")))))</f>
        <v>242</v>
      </c>
      <c r="D38" s="166">
        <f>C38*$C$22/UNOS!$F$548</f>
        <v>231.92635431936804</v>
      </c>
      <c r="E38" s="159" t="str">
        <f t="shared" ref="E38:E45" si="0">IF(C$27=B38,D38*$C$24,"")</f>
        <v/>
      </c>
      <c r="G38" s="167" t="s">
        <v>3</v>
      </c>
      <c r="H38" s="168">
        <v>1.1000000000000001</v>
      </c>
      <c r="I38" s="169">
        <v>49</v>
      </c>
      <c r="J38" s="168">
        <v>0.62</v>
      </c>
      <c r="K38" s="169">
        <v>25</v>
      </c>
      <c r="L38" s="170">
        <v>0.9</v>
      </c>
      <c r="M38" s="171">
        <v>34</v>
      </c>
      <c r="N38" s="168">
        <v>0.65</v>
      </c>
      <c r="O38" s="169">
        <v>32.5</v>
      </c>
      <c r="P38" s="168">
        <v>1.31</v>
      </c>
      <c r="Q38" s="169">
        <v>0</v>
      </c>
      <c r="T38" s="602" t="s">
        <v>524</v>
      </c>
      <c r="U38" s="603"/>
      <c r="V38" s="172" t="s">
        <v>526</v>
      </c>
      <c r="W38" s="172"/>
      <c r="X38" s="173">
        <v>0.5</v>
      </c>
      <c r="AA38" s="586" t="s">
        <v>535</v>
      </c>
      <c r="AB38" s="587"/>
      <c r="AC38" s="587"/>
      <c r="AD38" s="587"/>
      <c r="AE38" s="174">
        <v>0.95</v>
      </c>
      <c r="AH38" s="104"/>
      <c r="AJ38" s="165">
        <v>263</v>
      </c>
      <c r="AK38" s="165">
        <v>312</v>
      </c>
      <c r="AL38" s="165">
        <v>210</v>
      </c>
      <c r="AM38" s="165">
        <v>164</v>
      </c>
      <c r="AN38" s="165">
        <v>166</v>
      </c>
      <c r="AO38" s="175">
        <v>158</v>
      </c>
    </row>
    <row r="39" spans="1:41" ht="15" thickBot="1">
      <c r="A39" s="12"/>
      <c r="B39" s="112" t="s">
        <v>4</v>
      </c>
      <c r="C39" s="157">
        <f>IF('ENERGETSKI KALKULATOR'!$I$4='ENERGETSKI KALKULATOR'!$X$27,KALKULATOR!AJ40,IF('ENERGETSKI KALKULATOR'!$I$4='ENERGETSKI KALKULATOR'!$X$28,KALKULATOR!AK40,IF('ENERGETSKI KALKULATOR'!$I$5='ENERGETSKI KALKULATOR'!$W$27,KALKULATOR!AL40,IF('ENERGETSKI KALKULATOR'!$I$5='ENERGETSKI KALKULATOR'!$W$28,KALKULATOR!AM40,IF('ENERGETSKI KALKULATOR'!$I$5='ENERGETSKI KALKULATOR'!$W$29,AO40,"ИЗАБРАТИ ТИП ДОМАЋИНСТВА И ЗГРАДЕ")))))</f>
        <v>251.28</v>
      </c>
      <c r="D39" s="166">
        <f>C39*$C$22/UNOS!$F$548</f>
        <v>240.82005914616039</v>
      </c>
      <c r="E39" s="159" t="str">
        <f t="shared" si="0"/>
        <v/>
      </c>
      <c r="G39" s="176" t="s">
        <v>4</v>
      </c>
      <c r="H39" s="177">
        <v>1.17</v>
      </c>
      <c r="I39" s="178">
        <v>43</v>
      </c>
      <c r="J39" s="177">
        <v>0.64</v>
      </c>
      <c r="K39" s="178">
        <v>18</v>
      </c>
      <c r="L39" s="170">
        <v>0.9</v>
      </c>
      <c r="M39" s="171">
        <v>34</v>
      </c>
      <c r="N39" s="177">
        <v>0.77</v>
      </c>
      <c r="O39" s="178">
        <v>23</v>
      </c>
      <c r="P39" s="177">
        <v>1.31</v>
      </c>
      <c r="Q39" s="178">
        <v>0</v>
      </c>
      <c r="T39" s="610"/>
      <c r="U39" s="611"/>
      <c r="V39" s="179" t="s">
        <v>527</v>
      </c>
      <c r="W39" s="179" t="s">
        <v>533</v>
      </c>
      <c r="X39" s="180">
        <v>0.57999999999999996</v>
      </c>
      <c r="AA39" s="161" t="s">
        <v>536</v>
      </c>
      <c r="AB39" s="181"/>
      <c r="AC39" s="181"/>
      <c r="AD39" s="181"/>
      <c r="AE39" s="182">
        <v>0.98</v>
      </c>
      <c r="AH39" s="104"/>
      <c r="AI39" s="12" t="s">
        <v>3</v>
      </c>
      <c r="AJ39" s="165">
        <v>242</v>
      </c>
      <c r="AK39" s="165">
        <v>327</v>
      </c>
      <c r="AL39" s="165">
        <v>186</v>
      </c>
      <c r="AM39" s="165">
        <v>219</v>
      </c>
      <c r="AN39" s="165">
        <v>149</v>
      </c>
      <c r="AO39" s="175">
        <v>158</v>
      </c>
    </row>
    <row r="40" spans="1:41">
      <c r="A40" s="12"/>
      <c r="B40" s="112" t="s">
        <v>5</v>
      </c>
      <c r="C40" s="157">
        <f>IF('ENERGETSKI KALKULATOR'!$I$4='ENERGETSKI KALKULATOR'!$X$27,KALKULATOR!AJ41,IF('ENERGETSKI KALKULATOR'!$I$4='ENERGETSKI KALKULATOR'!$X$28,KALKULATOR!AK41,IF('ENERGETSKI KALKULATOR'!$I$5='ENERGETSKI KALKULATOR'!$W$27,KALKULATOR!AL41,IF('ENERGETSKI KALKULATOR'!$I$5='ENERGETSKI KALKULATOR'!$W$28,KALKULATOR!AM41,IF('ENERGETSKI KALKULATOR'!$I$5='ENERGETSKI KALKULATOR'!$W$29,AO41,"ИЗАБРАТИ ТИП ДОМАЋИНСТВА И ЗГРАДЕ")))))</f>
        <v>252.38</v>
      </c>
      <c r="D40" s="166">
        <f>C40*$C$22/UNOS!$F$548</f>
        <v>241.87426984761203</v>
      </c>
      <c r="E40" s="159">
        <f t="shared" si="0"/>
        <v>19349.941587808964</v>
      </c>
      <c r="G40" s="176" t="s">
        <v>5</v>
      </c>
      <c r="H40" s="177">
        <v>1.57</v>
      </c>
      <c r="I40" s="178">
        <v>53</v>
      </c>
      <c r="J40" s="177">
        <v>0.64</v>
      </c>
      <c r="K40" s="178">
        <v>18</v>
      </c>
      <c r="L40" s="183">
        <v>2.17</v>
      </c>
      <c r="M40" s="184">
        <v>28</v>
      </c>
      <c r="N40" s="177">
        <v>0.71</v>
      </c>
      <c r="O40" s="178">
        <v>31.5</v>
      </c>
      <c r="P40" s="177">
        <v>1.31</v>
      </c>
      <c r="Q40" s="178">
        <v>0</v>
      </c>
      <c r="T40" s="598"/>
      <c r="U40" s="599"/>
      <c r="V40" s="185"/>
      <c r="W40" s="185" t="s">
        <v>528</v>
      </c>
      <c r="X40" s="186">
        <v>0.68</v>
      </c>
      <c r="AH40" s="104"/>
      <c r="AI40" s="492" t="s">
        <v>4</v>
      </c>
      <c r="AJ40" s="165">
        <v>251.28</v>
      </c>
      <c r="AK40" s="165">
        <v>244</v>
      </c>
      <c r="AL40" s="165">
        <v>227</v>
      </c>
      <c r="AM40" s="165">
        <v>182</v>
      </c>
      <c r="AN40" s="165">
        <v>219</v>
      </c>
      <c r="AO40" s="188">
        <v>158</v>
      </c>
    </row>
    <row r="41" spans="1:41" ht="15" thickBot="1">
      <c r="A41" s="12"/>
      <c r="B41" s="112" t="s">
        <v>6</v>
      </c>
      <c r="C41" s="157">
        <f>IF('ENERGETSKI KALKULATOR'!$I$4='ENERGETSKI KALKULATOR'!$X$27,KALKULATOR!AJ42,IF('ENERGETSKI KALKULATOR'!$I$4='ENERGETSKI KALKULATOR'!$X$28,KALKULATOR!AK42,IF('ENERGETSKI KALKULATOR'!$I$5='ENERGETSKI KALKULATOR'!$W$27,KALKULATOR!AL42,IF('ENERGETSKI KALKULATOR'!$I$5='ENERGETSKI KALKULATOR'!$W$28,KALKULATOR!AM42,IF('ENERGETSKI KALKULATOR'!$I$5='ENERGETSKI KALKULATOR'!$W$29,AO42,"ИЗАБРАТИ ТИП ДОМАЋИНСТВА И ЗГРАДЕ")))))</f>
        <v>326.14</v>
      </c>
      <c r="D41" s="166">
        <f>C41*$C$22/UNOS!$F$548</f>
        <v>312.56388924677145</v>
      </c>
      <c r="E41" s="159" t="str">
        <f t="shared" si="0"/>
        <v/>
      </c>
      <c r="G41" s="176" t="s">
        <v>6</v>
      </c>
      <c r="H41" s="177">
        <v>1.7</v>
      </c>
      <c r="I41" s="178">
        <v>29</v>
      </c>
      <c r="J41" s="177">
        <v>0.61</v>
      </c>
      <c r="K41" s="178">
        <v>18</v>
      </c>
      <c r="L41" s="177">
        <v>1.48</v>
      </c>
      <c r="M41" s="178">
        <v>28</v>
      </c>
      <c r="N41" s="177">
        <v>2.4500000000000002</v>
      </c>
      <c r="O41" s="178">
        <v>23</v>
      </c>
      <c r="P41" s="177">
        <v>0.52</v>
      </c>
      <c r="Q41" s="178">
        <v>37</v>
      </c>
      <c r="T41" s="608" t="s">
        <v>85</v>
      </c>
      <c r="U41" s="609"/>
      <c r="V41" s="189" t="s">
        <v>527</v>
      </c>
      <c r="W41" s="189" t="s">
        <v>533</v>
      </c>
      <c r="X41" s="190">
        <v>0.63</v>
      </c>
      <c r="AA41" s="21" t="s">
        <v>541</v>
      </c>
      <c r="AH41" s="104"/>
      <c r="AI41" s="12" t="s">
        <v>5</v>
      </c>
      <c r="AJ41" s="165">
        <v>252.38</v>
      </c>
      <c r="AK41" s="165">
        <v>359</v>
      </c>
      <c r="AL41" s="165">
        <v>172</v>
      </c>
      <c r="AM41" s="165">
        <v>159</v>
      </c>
      <c r="AN41" s="165">
        <v>189</v>
      </c>
      <c r="AO41" s="188">
        <v>118</v>
      </c>
    </row>
    <row r="42" spans="1:41" ht="15.6">
      <c r="A42" s="12"/>
      <c r="B42" s="112" t="s">
        <v>7</v>
      </c>
      <c r="C42" s="157">
        <f>IF('ENERGETSKI KALKULATOR'!$I$4='ENERGETSKI KALKULATOR'!$X$27,KALKULATOR!AJ43,IF('ENERGETSKI KALKULATOR'!$I$4='ENERGETSKI KALKULATOR'!$X$28,KALKULATOR!AK43,IF('ENERGETSKI KALKULATOR'!$I$5='ENERGETSKI KALKULATOR'!$W$27,KALKULATOR!AL43,IF('ENERGETSKI KALKULATOR'!$I$5='ENERGETSKI KALKULATOR'!$W$28,KALKULATOR!AM43,IF('ENERGETSKI KALKULATOR'!$I$5='ENERGETSKI KALKULATOR'!$W$29,AO43,"ИЗАБРАТИ ТИП ДОМАЋИНСТВА И ЗГРАДЕ")))))</f>
        <v>339</v>
      </c>
      <c r="D42" s="166">
        <f>C42*$C$22/UNOS!$F$548</f>
        <v>324.88857072010654</v>
      </c>
      <c r="E42" s="159" t="str">
        <f t="shared" si="0"/>
        <v/>
      </c>
      <c r="G42" s="176" t="s">
        <v>7</v>
      </c>
      <c r="H42" s="177">
        <v>1.7</v>
      </c>
      <c r="I42" s="178">
        <v>29</v>
      </c>
      <c r="J42" s="177">
        <v>0.65</v>
      </c>
      <c r="K42" s="178">
        <v>17</v>
      </c>
      <c r="L42" s="177">
        <v>1.48</v>
      </c>
      <c r="M42" s="178">
        <v>28</v>
      </c>
      <c r="N42" s="177">
        <v>2.4500000000000002</v>
      </c>
      <c r="O42" s="178">
        <v>23</v>
      </c>
      <c r="P42" s="177">
        <v>0.55000000000000004</v>
      </c>
      <c r="Q42" s="178">
        <v>0</v>
      </c>
      <c r="T42" s="598"/>
      <c r="U42" s="599"/>
      <c r="V42" s="185"/>
      <c r="W42" s="185" t="s">
        <v>528</v>
      </c>
      <c r="X42" s="186">
        <v>0.72</v>
      </c>
      <c r="AA42" s="604" t="s">
        <v>543</v>
      </c>
      <c r="AB42" s="605"/>
      <c r="AC42" s="605"/>
      <c r="AD42" s="605"/>
      <c r="AE42" s="191" t="s">
        <v>540</v>
      </c>
      <c r="AH42" s="104"/>
      <c r="AI42" s="12" t="s">
        <v>6</v>
      </c>
      <c r="AJ42" s="165">
        <v>326.14</v>
      </c>
      <c r="AK42" s="165">
        <v>132</v>
      </c>
      <c r="AL42" s="165">
        <v>191</v>
      </c>
      <c r="AM42" s="165">
        <v>137</v>
      </c>
      <c r="AN42" s="165">
        <v>158</v>
      </c>
      <c r="AO42" s="188">
        <v>134</v>
      </c>
    </row>
    <row r="43" spans="1:41">
      <c r="A43" s="12"/>
      <c r="B43" s="112" t="s">
        <v>8</v>
      </c>
      <c r="C43" s="157">
        <f>IF('ENERGETSKI KALKULATOR'!$I$4='ENERGETSKI KALKULATOR'!$X$27,KALKULATOR!AJ44,IF('ENERGETSKI KALKULATOR'!$I$4='ENERGETSKI KALKULATOR'!$X$28,KALKULATOR!AK44,IF('ENERGETSKI KALKULATOR'!$I$5='ENERGETSKI KALKULATOR'!$W$27,KALKULATOR!AL44,IF('ENERGETSKI KALKULATOR'!$I$5='ENERGETSKI KALKULATOR'!$W$28,KALKULATOR!AM44,IF('ENERGETSKI KALKULATOR'!$I$5='ENERGETSKI KALKULATOR'!$W$29,AO44,"ИЗАБРАТИ ТИП ДОМАЋИНСТВА И ЗГРАДЕ")))))</f>
        <v>239.68</v>
      </c>
      <c r="D43" s="166">
        <f>C43*$C$22/UNOS!$F$548</f>
        <v>229.70292811267001</v>
      </c>
      <c r="E43" s="159" t="str">
        <f t="shared" si="0"/>
        <v/>
      </c>
      <c r="G43" s="176" t="s">
        <v>8</v>
      </c>
      <c r="H43" s="177">
        <v>0.32</v>
      </c>
      <c r="I43" s="178">
        <v>39</v>
      </c>
      <c r="J43" s="177">
        <v>0.32</v>
      </c>
      <c r="K43" s="178">
        <v>23</v>
      </c>
      <c r="L43" s="177">
        <v>1.49</v>
      </c>
      <c r="M43" s="178">
        <v>27</v>
      </c>
      <c r="N43" s="177">
        <v>2.4700000000000002</v>
      </c>
      <c r="O43" s="178">
        <v>22</v>
      </c>
      <c r="P43" s="177">
        <v>0.47</v>
      </c>
      <c r="Q43" s="178">
        <v>30</v>
      </c>
      <c r="T43" s="608" t="s">
        <v>525</v>
      </c>
      <c r="U43" s="609"/>
      <c r="V43" s="189" t="s">
        <v>527</v>
      </c>
      <c r="W43" s="189" t="s">
        <v>533</v>
      </c>
      <c r="X43" s="190">
        <v>0.68</v>
      </c>
      <c r="AA43" s="606" t="s">
        <v>542</v>
      </c>
      <c r="AB43" s="607"/>
      <c r="AC43" s="607"/>
      <c r="AD43" s="607"/>
      <c r="AE43" s="192">
        <v>0.95</v>
      </c>
      <c r="AH43" s="104"/>
      <c r="AI43" s="12" t="s">
        <v>7</v>
      </c>
      <c r="AJ43" s="165">
        <v>339</v>
      </c>
      <c r="AK43" s="165">
        <v>218</v>
      </c>
      <c r="AL43" s="165">
        <v>126</v>
      </c>
      <c r="AM43" s="165">
        <v>127</v>
      </c>
      <c r="AN43" s="165">
        <v>117</v>
      </c>
      <c r="AO43" s="188">
        <v>125</v>
      </c>
    </row>
    <row r="44" spans="1:41">
      <c r="A44" s="12"/>
      <c r="B44" s="112" t="s">
        <v>9</v>
      </c>
      <c r="C44" s="157">
        <f>IF('ENERGETSKI KALKULATOR'!$I$4='ENERGETSKI KALKULATOR'!$X$27,KALKULATOR!AJ45,IF('ENERGETSKI KALKULATOR'!$I$4='ENERGETSKI KALKULATOR'!$X$28,KALKULATOR!AK45,IF('ENERGETSKI KALKULATOR'!$I$5='ENERGETSKI KALKULATOR'!$W$27,KALKULATOR!AL45,IF('ENERGETSKI KALKULATOR'!$I$5='ENERGETSKI KALKULATOR'!$W$28,KALKULATOR!AM45,IF('ENERGETSKI KALKULATOR'!$I$5='ENERGETSKI KALKULATOR'!$W$29,AO45,"ИЗАБРАТИ ТИП ДОМАЋИНСТВА И ЗГРАДЕ")))))</f>
        <v>60.92</v>
      </c>
      <c r="D44" s="166">
        <f>C44*$C$22/UNOS!$F$548</f>
        <v>58.384105393123562</v>
      </c>
      <c r="E44" s="159" t="str">
        <f t="shared" si="0"/>
        <v/>
      </c>
      <c r="G44" s="176" t="s">
        <v>9</v>
      </c>
      <c r="H44" s="177">
        <v>0.19</v>
      </c>
      <c r="I44" s="178">
        <v>50</v>
      </c>
      <c r="J44" s="177">
        <v>0.26</v>
      </c>
      <c r="K44" s="178">
        <v>36</v>
      </c>
      <c r="L44" s="183">
        <v>0.3</v>
      </c>
      <c r="M44" s="184">
        <v>30</v>
      </c>
      <c r="N44" s="177">
        <v>0.2</v>
      </c>
      <c r="O44" s="178">
        <v>37</v>
      </c>
      <c r="P44" s="183">
        <v>0.15</v>
      </c>
      <c r="Q44" s="184">
        <v>45</v>
      </c>
      <c r="T44" s="598"/>
      <c r="U44" s="599"/>
      <c r="V44" s="185"/>
      <c r="W44" s="185" t="s">
        <v>528</v>
      </c>
      <c r="X44" s="186">
        <v>0.8</v>
      </c>
      <c r="AA44" s="606" t="s">
        <v>544</v>
      </c>
      <c r="AB44" s="607"/>
      <c r="AC44" s="607"/>
      <c r="AD44" s="607"/>
      <c r="AE44" s="192">
        <v>0.92</v>
      </c>
      <c r="AH44" s="104"/>
      <c r="AI44" s="12" t="s">
        <v>8</v>
      </c>
      <c r="AJ44" s="165">
        <v>239.68</v>
      </c>
      <c r="AK44" s="165">
        <v>159</v>
      </c>
      <c r="AL44" s="165">
        <v>78</v>
      </c>
      <c r="AM44" s="165">
        <v>85</v>
      </c>
      <c r="AN44" s="165">
        <v>95</v>
      </c>
      <c r="AO44" s="175">
        <v>125</v>
      </c>
    </row>
    <row r="45" spans="1:41" ht="15" thickBot="1">
      <c r="A45" s="12"/>
      <c r="B45" s="193" t="s">
        <v>22</v>
      </c>
      <c r="C45" s="157">
        <f>AVERAGE(C38:C43)</f>
        <v>275.08</v>
      </c>
      <c r="D45" s="166">
        <f>C45*$C$22/UNOS!$F$548</f>
        <v>263.6293452321147</v>
      </c>
      <c r="E45" s="159" t="str">
        <f t="shared" si="0"/>
        <v/>
      </c>
      <c r="G45" s="194" t="s">
        <v>22</v>
      </c>
      <c r="H45" s="195">
        <v>1.26</v>
      </c>
      <c r="I45" s="196">
        <v>40</v>
      </c>
      <c r="J45" s="195">
        <v>0.57999999999999996</v>
      </c>
      <c r="K45" s="196">
        <v>20</v>
      </c>
      <c r="L45" s="195">
        <v>1.4</v>
      </c>
      <c r="M45" s="196">
        <v>30</v>
      </c>
      <c r="N45" s="195">
        <v>1.58</v>
      </c>
      <c r="O45" s="196">
        <v>26</v>
      </c>
      <c r="P45" s="195">
        <v>0.91</v>
      </c>
      <c r="Q45" s="196">
        <v>34</v>
      </c>
      <c r="T45" s="591" t="s">
        <v>31</v>
      </c>
      <c r="U45" s="592"/>
      <c r="V45" s="197"/>
      <c r="W45" s="197" t="s">
        <v>528</v>
      </c>
      <c r="X45" s="198">
        <v>0.95</v>
      </c>
      <c r="AA45" s="593" t="s">
        <v>553</v>
      </c>
      <c r="AB45" s="594"/>
      <c r="AC45" s="594"/>
      <c r="AD45" s="594"/>
      <c r="AE45" s="199">
        <v>0.9</v>
      </c>
      <c r="AH45" s="106"/>
      <c r="AI45" s="493" t="s">
        <v>9</v>
      </c>
      <c r="AJ45" s="200">
        <v>60.92</v>
      </c>
      <c r="AK45" s="201">
        <v>50</v>
      </c>
      <c r="AL45" s="200">
        <v>43.53</v>
      </c>
      <c r="AM45" s="200">
        <v>33.46</v>
      </c>
      <c r="AN45" s="200">
        <v>41</v>
      </c>
      <c r="AO45" s="202">
        <v>35</v>
      </c>
    </row>
    <row r="46" spans="1:41" ht="16.2" thickBot="1">
      <c r="A46" s="12"/>
      <c r="B46" s="203"/>
      <c r="C46" s="204"/>
      <c r="D46" s="204" t="s">
        <v>139</v>
      </c>
      <c r="E46" s="205">
        <f>IF('ENERGETSKI KALKULATOR'!I9="",E47*SUM(E38:E44),'ENERGETSKI KALKULATOR'!I9)</f>
        <v>13942.747200000003</v>
      </c>
      <c r="T46" s="591" t="s">
        <v>153</v>
      </c>
      <c r="U46" s="592"/>
      <c r="V46" s="197"/>
      <c r="W46" s="197" t="s">
        <v>528</v>
      </c>
      <c r="X46" s="198">
        <v>0.78</v>
      </c>
    </row>
    <row r="47" spans="1:41" ht="15" thickBot="1">
      <c r="A47" s="12"/>
      <c r="C47" s="90"/>
      <c r="D47" s="483" t="s">
        <v>919</v>
      </c>
      <c r="E47" s="484">
        <f>IF('ENERGETSKI KALKULATOR'!D10&gt;0,'ENERGETSKI KALKULATOR'!D10/(VLOOKUP(C29,B52:T59,19,FALSE)*SUM(E38:E45)/B139),1)</f>
        <v>0.72055758601278397</v>
      </c>
      <c r="T47" s="591" t="s">
        <v>33</v>
      </c>
      <c r="U47" s="592"/>
      <c r="V47" s="197"/>
      <c r="W47" s="197" t="s">
        <v>528</v>
      </c>
      <c r="X47" s="198">
        <v>2.5</v>
      </c>
    </row>
    <row r="48" spans="1:41" ht="15" thickBot="1">
      <c r="A48" s="153" t="s">
        <v>280</v>
      </c>
      <c r="C48" s="206"/>
      <c r="D48" s="207"/>
      <c r="T48" s="591" t="s">
        <v>552</v>
      </c>
      <c r="U48" s="592"/>
      <c r="V48" s="197"/>
      <c r="W48" s="197" t="s">
        <v>528</v>
      </c>
      <c r="X48" s="198">
        <v>0.98</v>
      </c>
    </row>
    <row r="49" spans="1:37" ht="15" thickBot="1">
      <c r="A49" s="153"/>
      <c r="C49" s="206" t="s">
        <v>148</v>
      </c>
      <c r="D49" s="207" t="s">
        <v>163</v>
      </c>
      <c r="E49" s="9" t="s">
        <v>154</v>
      </c>
      <c r="G49" s="578" t="s">
        <v>156</v>
      </c>
      <c r="H49" s="579"/>
      <c r="I49" s="579"/>
      <c r="J49" s="580"/>
      <c r="K49" s="578" t="s">
        <v>157</v>
      </c>
      <c r="L49" s="579"/>
      <c r="M49" s="579"/>
      <c r="N49" s="579"/>
      <c r="O49" s="588" t="s">
        <v>193</v>
      </c>
    </row>
    <row r="50" spans="1:37" ht="16.2" thickBot="1">
      <c r="A50" s="12"/>
      <c r="B50" s="90" t="s">
        <v>142</v>
      </c>
      <c r="C50" s="55" t="s">
        <v>143</v>
      </c>
      <c r="D50" s="55" t="s">
        <v>177</v>
      </c>
      <c r="E50" s="55" t="s">
        <v>155</v>
      </c>
      <c r="G50" s="208" t="s">
        <v>149</v>
      </c>
      <c r="H50" s="209" t="s">
        <v>150</v>
      </c>
      <c r="I50" s="209" t="s">
        <v>151</v>
      </c>
      <c r="J50" s="210" t="s">
        <v>152</v>
      </c>
      <c r="K50" s="208" t="s">
        <v>149</v>
      </c>
      <c r="L50" s="209" t="s">
        <v>150</v>
      </c>
      <c r="M50" s="209" t="s">
        <v>151</v>
      </c>
      <c r="N50" s="143" t="s">
        <v>152</v>
      </c>
      <c r="O50" s="589"/>
      <c r="Q50" s="211" t="s">
        <v>242</v>
      </c>
      <c r="R50" s="567" t="s">
        <v>246</v>
      </c>
      <c r="S50" s="568"/>
      <c r="T50" s="32" t="s">
        <v>449</v>
      </c>
      <c r="U50" s="32" t="s">
        <v>449</v>
      </c>
      <c r="V50" s="211"/>
      <c r="W50" s="32"/>
      <c r="X50" s="32"/>
      <c r="Y50" s="32" t="s">
        <v>201</v>
      </c>
      <c r="Z50" s="571" t="s">
        <v>361</v>
      </c>
      <c r="AA50" s="572"/>
      <c r="AB50" s="572"/>
      <c r="AC50" s="573"/>
      <c r="AD50" s="212" t="s">
        <v>480</v>
      </c>
      <c r="AF50" s="560" t="s">
        <v>253</v>
      </c>
      <c r="AG50" s="561"/>
      <c r="AH50" s="561"/>
      <c r="AI50" s="561"/>
      <c r="AJ50" s="561"/>
      <c r="AK50" s="562"/>
    </row>
    <row r="51" spans="1:37" ht="16.2" thickBot="1">
      <c r="A51" s="12"/>
      <c r="B51" s="90"/>
      <c r="C51" s="213">
        <f>SUM(C52:C59)</f>
        <v>9517.2528000000002</v>
      </c>
      <c r="D51" s="214">
        <f>SUM(D52:D59)</f>
        <v>23460.000000000004</v>
      </c>
      <c r="E51" s="214">
        <f>SUM(E52:E59)</f>
        <v>23460.000000000004</v>
      </c>
      <c r="G51" s="215" t="s">
        <v>145</v>
      </c>
      <c r="H51" s="216" t="s">
        <v>146</v>
      </c>
      <c r="I51" s="216" t="s">
        <v>147</v>
      </c>
      <c r="J51" s="217" t="s">
        <v>144</v>
      </c>
      <c r="K51" s="215" t="s">
        <v>145</v>
      </c>
      <c r="L51" s="216" t="s">
        <v>146</v>
      </c>
      <c r="M51" s="216" t="s">
        <v>147</v>
      </c>
      <c r="N51" s="218" t="s">
        <v>144</v>
      </c>
      <c r="O51" s="589"/>
      <c r="Q51" s="219" t="s">
        <v>243</v>
      </c>
      <c r="R51" s="569"/>
      <c r="S51" s="570"/>
      <c r="T51" s="34" t="s">
        <v>244</v>
      </c>
      <c r="U51" s="34" t="s">
        <v>245</v>
      </c>
      <c r="V51" s="219" t="s">
        <v>448</v>
      </c>
      <c r="W51" s="34" t="s">
        <v>450</v>
      </c>
      <c r="X51" s="34" t="s">
        <v>451</v>
      </c>
      <c r="Y51" s="34" t="s">
        <v>200</v>
      </c>
      <c r="Z51" s="220" t="s">
        <v>247</v>
      </c>
      <c r="AA51" s="221" t="s">
        <v>248</v>
      </c>
      <c r="AB51" s="222" t="s">
        <v>249</v>
      </c>
      <c r="AC51" s="223" t="s">
        <v>248</v>
      </c>
      <c r="AD51" s="224" t="s">
        <v>200</v>
      </c>
      <c r="AF51" s="168"/>
      <c r="AG51" s="225" t="s">
        <v>452</v>
      </c>
      <c r="AH51" s="225" t="s">
        <v>453</v>
      </c>
      <c r="AI51" s="225" t="s">
        <v>454</v>
      </c>
      <c r="AJ51" s="225" t="s">
        <v>455</v>
      </c>
      <c r="AK51" s="169" t="s">
        <v>456</v>
      </c>
    </row>
    <row r="52" spans="1:37">
      <c r="A52" s="12"/>
      <c r="B52" s="27" t="s">
        <v>30</v>
      </c>
      <c r="C52" s="226">
        <f t="shared" ref="C52:C57" si="1">IF(D52="","",D52*(1-J52))</f>
        <v>9517.2528000000002</v>
      </c>
      <c r="D52" s="226">
        <f t="shared" ref="D52:D59" si="2">IF(B52=C$29,$E$46/J52,"")</f>
        <v>23460.000000000004</v>
      </c>
      <c r="E52" s="226">
        <f t="shared" ref="E52:E59" si="3">IF(D52="","",D52*O52)</f>
        <v>23460.000000000004</v>
      </c>
      <c r="G52" s="183">
        <f>IF(   UNOS!$K$57,   X38,   IF(   UNOS!$K$56,   X39,   IF(   UNOS!$K$55,    X40,   0   )))</f>
        <v>0.68</v>
      </c>
      <c r="H52" s="127">
        <f>IF(   UNOS!$K$57,   1,  IF(   UNOS!$K$142,   $AE$39,    $AE$38   )   )</f>
        <v>0.95</v>
      </c>
      <c r="I52" s="227">
        <f>IF(UNOS!$K$145,$AE$45,IF(UNOS!$K$146,$AE$44,IF(UNOS!$K$147,$AE$43,"ПРОВЕРА УНОСА")))</f>
        <v>0.92</v>
      </c>
      <c r="J52" s="228">
        <f t="shared" ref="J52:J59" si="4">G52*H52*I52</f>
        <v>0.59432000000000007</v>
      </c>
      <c r="K52" s="183">
        <f>IF(   $B$235,   UNOS!$C$132,   G52   )</f>
        <v>0.85</v>
      </c>
      <c r="L52" s="127">
        <f>IF(   UNOS!$K$154, $AE$39,  H52   )</f>
        <v>0.98</v>
      </c>
      <c r="M52" s="127">
        <f>IF(UNOS!$K$159,$AE$43,IF(UNOS!$K$158,$AE$44,I52))</f>
        <v>0.95</v>
      </c>
      <c r="N52" s="229">
        <f t="shared" ref="N52:N59" si="5">K52*L52*M52</f>
        <v>0.79134999999999989</v>
      </c>
      <c r="O52" s="176">
        <v>1</v>
      </c>
      <c r="Q52" s="230" t="str">
        <f>UNOS!E44</f>
        <v>m3  (pm)</v>
      </c>
      <c r="R52" s="231">
        <f>UNOS!G44</f>
        <v>8445600</v>
      </c>
      <c r="S52" s="232" t="str">
        <f>UNOS!H44</f>
        <v>kJ/m3</v>
      </c>
      <c r="T52" s="38">
        <f>UNOS!I44</f>
        <v>4.2625745950554135E-4</v>
      </c>
      <c r="U52" s="39">
        <f t="shared" ref="U52:U59" si="6">T52*$B$140</f>
        <v>10.000000000000002</v>
      </c>
      <c r="V52" s="230">
        <f>UNOS!F44</f>
        <v>8000</v>
      </c>
      <c r="W52" s="233">
        <f t="shared" ref="W52:W59" si="7">T52*V52</f>
        <v>3.4100596760443307</v>
      </c>
      <c r="X52" s="39">
        <f t="shared" ref="X52:X59" si="8">IF(D52="", "", V52*U52)</f>
        <v>80000.000000000015</v>
      </c>
      <c r="Y52" s="39">
        <f>IF(D52="","",   IF(   $B$132,  KALKULATOR!X52*KALKULATOR!$B$138,""))</f>
        <v>42569.176090084322</v>
      </c>
      <c r="Z52" s="234"/>
      <c r="AA52" s="235"/>
      <c r="AB52" s="236">
        <v>0</v>
      </c>
      <c r="AC52" s="237">
        <f t="shared" ref="AC52:AC59" si="9">IF(D52="","",AB52*O52*$B$140)</f>
        <v>0</v>
      </c>
      <c r="AD52" s="238">
        <f>IF(D52="","",   IF(   $B$132,  AC52*KALKULATOR!$B$138,""))</f>
        <v>0</v>
      </c>
      <c r="AF52" s="239" t="s">
        <v>194</v>
      </c>
      <c r="AG52" s="240">
        <v>16000</v>
      </c>
      <c r="AH52" s="240">
        <v>18300</v>
      </c>
      <c r="AI52" s="240">
        <v>21000</v>
      </c>
      <c r="AJ52" s="240">
        <v>10300</v>
      </c>
      <c r="AK52" s="241">
        <v>19400</v>
      </c>
    </row>
    <row r="53" spans="1:37" ht="15" thickBot="1">
      <c r="A53" s="12"/>
      <c r="B53" s="242" t="s">
        <v>29</v>
      </c>
      <c r="C53" s="226" t="str">
        <f t="shared" si="1"/>
        <v/>
      </c>
      <c r="D53" s="226" t="str">
        <f t="shared" si="2"/>
        <v/>
      </c>
      <c r="E53" s="226" t="str">
        <f t="shared" si="3"/>
        <v/>
      </c>
      <c r="G53" s="183">
        <f>IF(   UNOS!$K$57,   X38,   IF(   UNOS!$K$56,   X39,   IF(   UNOS!$K$55,    X40,   0   )))</f>
        <v>0.68</v>
      </c>
      <c r="H53" s="127">
        <f>IF(   UNOS!$K$57,   1,  IF(   UNOS!$K$142,   $AE$39,    $AE$38   )   )</f>
        <v>0.95</v>
      </c>
      <c r="I53" s="227">
        <f>IF(UNOS!$K$145,$AE$45,IF(UNOS!$K$146,$AE$44,IF(UNOS!$K$147,$AE$43,"ПРОВЕРА УНОСА")))</f>
        <v>0.92</v>
      </c>
      <c r="J53" s="228">
        <f t="shared" si="4"/>
        <v>0.59432000000000007</v>
      </c>
      <c r="K53" s="183">
        <f>IF(   $B$235,   UNOS!$C$132,   G53   )</f>
        <v>0.85</v>
      </c>
      <c r="L53" s="127">
        <f>IF(   UNOS!$K$154, $AE$39,  H53   )</f>
        <v>0.98</v>
      </c>
      <c r="M53" s="127">
        <f>IF(UNOS!$K$159,$AE$43,IF(UNOS!$K$158,$AE$44,I53))</f>
        <v>0.95</v>
      </c>
      <c r="N53" s="229">
        <f t="shared" si="5"/>
        <v>0.79134999999999989</v>
      </c>
      <c r="O53" s="176">
        <v>1</v>
      </c>
      <c r="Q53" s="243" t="str">
        <f>UNOS!E45</f>
        <v>t</v>
      </c>
      <c r="R53" s="244">
        <f>UNOS!G45</f>
        <v>17886000</v>
      </c>
      <c r="S53" s="245" t="str">
        <f>UNOS!H45</f>
        <v>kJ/t</v>
      </c>
      <c r="T53" s="45">
        <f>UNOS!I45</f>
        <v>2.0127474002012749E-4</v>
      </c>
      <c r="U53" s="44">
        <f t="shared" si="6"/>
        <v>4.7219054008721919</v>
      </c>
      <c r="V53" s="243">
        <f>UNOS!F45</f>
        <v>8000</v>
      </c>
      <c r="W53" s="246">
        <f t="shared" si="7"/>
        <v>1.6101979201610199</v>
      </c>
      <c r="X53" s="44" t="str">
        <f t="shared" si="8"/>
        <v/>
      </c>
      <c r="Y53" s="44" t="str">
        <f>IF(D53="","",   IF(   $B$132,  KALKULATOR!X53*KALKULATOR!$B$138,""))</f>
        <v/>
      </c>
      <c r="Z53" s="177"/>
      <c r="AA53" s="247">
        <f>O53*Z53*U53</f>
        <v>0</v>
      </c>
      <c r="AB53" s="125">
        <v>0.35</v>
      </c>
      <c r="AC53" s="248" t="str">
        <f t="shared" si="9"/>
        <v/>
      </c>
      <c r="AD53" s="238" t="str">
        <f>IF(D53="","",   IF(   $B$132,  AC53*KALKULATOR!$B$138,""))</f>
        <v/>
      </c>
      <c r="AF53" s="161" t="s">
        <v>404</v>
      </c>
      <c r="AG53" s="249">
        <v>22560</v>
      </c>
      <c r="AH53" s="249">
        <v>21960</v>
      </c>
      <c r="AI53" s="249">
        <v>25200</v>
      </c>
      <c r="AJ53" s="249">
        <v>16800</v>
      </c>
      <c r="AK53" s="250">
        <v>23520</v>
      </c>
    </row>
    <row r="54" spans="1:37">
      <c r="A54" s="12"/>
      <c r="B54" s="242" t="s">
        <v>85</v>
      </c>
      <c r="C54" s="226" t="str">
        <f t="shared" si="1"/>
        <v/>
      </c>
      <c r="D54" s="226" t="str">
        <f t="shared" si="2"/>
        <v/>
      </c>
      <c r="E54" s="226" t="str">
        <f t="shared" si="3"/>
        <v/>
      </c>
      <c r="G54" s="183">
        <f>IF(   UNOS!$K$57,   X38,   IF(   UNOS!$K$56,   X41,   IF(   UNOS!$K$55,    X42,   0   )))</f>
        <v>0.72</v>
      </c>
      <c r="H54" s="127">
        <f>IF(   UNOS!$K$57,   1,  IF(   UNOS!$K$142,   $AE$39,    $AE$38   )   )</f>
        <v>0.95</v>
      </c>
      <c r="I54" s="227">
        <f>IF(UNOS!$K$145,$AE$45,IF(UNOS!$K$146,$AE$44,IF(UNOS!$K$147,$AE$43,"ПРОВЕРА УНОСА")))</f>
        <v>0.92</v>
      </c>
      <c r="J54" s="228">
        <f t="shared" si="4"/>
        <v>0.62927999999999995</v>
      </c>
      <c r="K54" s="183">
        <f>IF(   $B$235,   UNOS!$C$132,   G54   )</f>
        <v>0.85</v>
      </c>
      <c r="L54" s="127">
        <f>IF(   UNOS!$K$154, $AE$39,  H54   )</f>
        <v>0.98</v>
      </c>
      <c r="M54" s="127">
        <f>IF(UNOS!$K$159,$AE$43,IF(UNOS!$K$158,$AE$44,I54))</f>
        <v>0.95</v>
      </c>
      <c r="N54" s="229">
        <f t="shared" si="5"/>
        <v>0.79134999999999989</v>
      </c>
      <c r="O54" s="176">
        <v>1</v>
      </c>
      <c r="Q54" s="243" t="str">
        <f>UNOS!E46</f>
        <v>kg</v>
      </c>
      <c r="R54" s="244">
        <f>UNOS!G46</f>
        <v>41200</v>
      </c>
      <c r="S54" s="245" t="str">
        <f>UNOS!H46</f>
        <v>kJ/kg</v>
      </c>
      <c r="T54" s="45">
        <f>UNOS!I46</f>
        <v>8.7378640776699032E-2</v>
      </c>
      <c r="U54" s="44">
        <f t="shared" si="6"/>
        <v>2049.9029126213595</v>
      </c>
      <c r="V54" s="243">
        <f>UNOS!F46</f>
        <v>8000</v>
      </c>
      <c r="W54" s="246">
        <f t="shared" si="7"/>
        <v>699.02912621359224</v>
      </c>
      <c r="X54" s="44" t="str">
        <f t="shared" si="8"/>
        <v/>
      </c>
      <c r="Y54" s="44" t="str">
        <f>IF(D54="","",   IF(   $B$132,  KALKULATOR!X54*KALKULATOR!$B$138,""))</f>
        <v/>
      </c>
      <c r="Z54" s="177"/>
      <c r="AA54" s="247">
        <f>O54*Z54*U54</f>
        <v>0</v>
      </c>
      <c r="AB54" s="125">
        <v>0.28000000000000003</v>
      </c>
      <c r="AC54" s="248" t="str">
        <f t="shared" si="9"/>
        <v/>
      </c>
      <c r="AD54" s="238" t="str">
        <f>IF(D54="","",   IF(   $B$132,  AC54*KALKULATOR!$B$138,""))</f>
        <v/>
      </c>
    </row>
    <row r="55" spans="1:37" ht="15" thickBot="1">
      <c r="A55" s="12"/>
      <c r="B55" s="242" t="s">
        <v>31</v>
      </c>
      <c r="C55" s="226" t="str">
        <f t="shared" si="1"/>
        <v/>
      </c>
      <c r="D55" s="226" t="str">
        <f t="shared" si="2"/>
        <v/>
      </c>
      <c r="E55" s="226" t="str">
        <f t="shared" si="3"/>
        <v/>
      </c>
      <c r="G55" s="177">
        <f>X45</f>
        <v>0.95</v>
      </c>
      <c r="H55" s="127">
        <f>IF(   UNOS!$K$57,   1,  IF(   UNOS!$K$142,   $AE$39,    $AE$38   )   )</f>
        <v>0.95</v>
      </c>
      <c r="I55" s="227">
        <f>IF(UNOS!$K$145,$AE$45,IF(UNOS!$K$146,$AE$44,IF(UNOS!$K$147,$AE$43,"ПРОВЕРА УНОСА")))</f>
        <v>0.92</v>
      </c>
      <c r="J55" s="228">
        <f t="shared" si="4"/>
        <v>0.83030000000000004</v>
      </c>
      <c r="K55" s="183">
        <f>IF(   $B$235,   UNOS!$C$132,   G55   )</f>
        <v>0.85</v>
      </c>
      <c r="L55" s="127">
        <f>IF(   UNOS!$K$154, $AE$39,  H55   )</f>
        <v>0.98</v>
      </c>
      <c r="M55" s="127">
        <f>IF(UNOS!$K$159,$AE$43,IF(UNOS!$K$158,$AE$44,I55))</f>
        <v>0.95</v>
      </c>
      <c r="N55" s="229">
        <f t="shared" si="5"/>
        <v>0.79134999999999989</v>
      </c>
      <c r="O55" s="176">
        <v>3.0150000000000001</v>
      </c>
      <c r="Q55" s="243" t="str">
        <f>UNOS!E47</f>
        <v>kWh</v>
      </c>
      <c r="R55" s="244">
        <f>UNOS!G47</f>
        <v>1</v>
      </c>
      <c r="S55" s="245" t="str">
        <f>UNOS!H47</f>
        <v>kWh/kWh</v>
      </c>
      <c r="T55" s="44">
        <f>UNOS!I47</f>
        <v>1</v>
      </c>
      <c r="U55" s="44">
        <f t="shared" si="6"/>
        <v>23460.000000000004</v>
      </c>
      <c r="V55" s="243">
        <f>UNOS!F47</f>
        <v>8000</v>
      </c>
      <c r="W55" s="246">
        <f t="shared" si="7"/>
        <v>8000</v>
      </c>
      <c r="X55" s="44" t="str">
        <f t="shared" si="8"/>
        <v/>
      </c>
      <c r="Y55" s="44" t="str">
        <f>IF(D55="","",   IF(   $B$132,  KALKULATOR!X55*KALKULATOR!$B$138,""))</f>
        <v/>
      </c>
      <c r="Z55" s="177"/>
      <c r="AA55" s="127"/>
      <c r="AB55" s="125">
        <v>0.36499999999999999</v>
      </c>
      <c r="AC55" s="248" t="str">
        <f t="shared" si="9"/>
        <v/>
      </c>
      <c r="AD55" s="238" t="str">
        <f>IF(D55="","",   IF(   $B$132,  AC55*KALKULATOR!$B$138,""))</f>
        <v/>
      </c>
    </row>
    <row r="56" spans="1:37" ht="15" thickBot="1">
      <c r="A56" s="12"/>
      <c r="B56" s="242" t="s">
        <v>32</v>
      </c>
      <c r="C56" s="226" t="str">
        <f t="shared" si="1"/>
        <v/>
      </c>
      <c r="D56" s="226" t="str">
        <f t="shared" si="2"/>
        <v/>
      </c>
      <c r="E56" s="226" t="str">
        <f t="shared" si="3"/>
        <v/>
      </c>
      <c r="G56" s="183">
        <f>IF(   UNOS!$K$57,   X43,   IF(   UNOS!$K$56,   X44,   IF(   UNOS!$K$55,    X44,   0   )))</f>
        <v>0.8</v>
      </c>
      <c r="H56" s="127">
        <f>IF(   UNOS!$K$57,   1,  IF(   UNOS!$K$142,   $AE$39,    $AE$38   )   )</f>
        <v>0.95</v>
      </c>
      <c r="I56" s="227">
        <f>IF(UNOS!$K$145,$AE$45,IF(UNOS!$K$146,$AE$44,IF(UNOS!$K$147,$AE$43,"ПРОВЕРА УНОСА")))</f>
        <v>0.92</v>
      </c>
      <c r="J56" s="228">
        <f t="shared" si="4"/>
        <v>0.69920000000000004</v>
      </c>
      <c r="K56" s="183">
        <f>IF(   $B$235,   UNOS!$C$132,   G56   )</f>
        <v>0.85</v>
      </c>
      <c r="L56" s="127">
        <f>IF(   UNOS!$K$154, $AE$39,  H56   )</f>
        <v>0.98</v>
      </c>
      <c r="M56" s="127">
        <f>IF(UNOS!$K$159,$AE$43,IF(UNOS!$K$158,$AE$44,I56))</f>
        <v>0.95</v>
      </c>
      <c r="N56" s="229">
        <f t="shared" si="5"/>
        <v>0.79134999999999989</v>
      </c>
      <c r="O56" s="176">
        <v>1</v>
      </c>
      <c r="Q56" s="243" t="str">
        <f>UNOS!E48</f>
        <v>m3</v>
      </c>
      <c r="R56" s="244">
        <f>UNOS!G48</f>
        <v>33500</v>
      </c>
      <c r="S56" s="245" t="str">
        <f>UNOS!H48</f>
        <v>kJ/m3</v>
      </c>
      <c r="T56" s="45">
        <f>UNOS!I48</f>
        <v>0.10746268656716418</v>
      </c>
      <c r="U56" s="44">
        <f t="shared" si="6"/>
        <v>2521.0746268656721</v>
      </c>
      <c r="V56" s="251">
        <f>UNOS!F48</f>
        <v>8000</v>
      </c>
      <c r="W56" s="246">
        <f t="shared" si="7"/>
        <v>859.70149253731347</v>
      </c>
      <c r="X56" s="44" t="str">
        <f t="shared" si="8"/>
        <v/>
      </c>
      <c r="Y56" s="44" t="str">
        <f>IF(D56="","",   IF(   $B$132,  KALKULATOR!X56*KALKULATOR!$B$138,""))</f>
        <v/>
      </c>
      <c r="Z56" s="177"/>
      <c r="AA56" s="227"/>
      <c r="AB56" s="252">
        <v>0.18</v>
      </c>
      <c r="AC56" s="248" t="str">
        <f t="shared" si="9"/>
        <v/>
      </c>
      <c r="AD56" s="238" t="str">
        <f>IF(D56="","",   IF(   $B$132,  AC56*KALKULATOR!$B$138,""))</f>
        <v/>
      </c>
      <c r="AE56" s="253"/>
      <c r="AF56" s="560" t="s">
        <v>256</v>
      </c>
      <c r="AG56" s="561"/>
      <c r="AH56" s="562"/>
    </row>
    <row r="57" spans="1:37">
      <c r="A57" s="12"/>
      <c r="B57" s="242" t="s">
        <v>153</v>
      </c>
      <c r="C57" s="226" t="str">
        <f t="shared" si="1"/>
        <v/>
      </c>
      <c r="D57" s="226" t="str">
        <f t="shared" si="2"/>
        <v/>
      </c>
      <c r="E57" s="226" t="str">
        <f t="shared" si="3"/>
        <v/>
      </c>
      <c r="G57" s="177">
        <f>X46</f>
        <v>0.78</v>
      </c>
      <c r="H57" s="127">
        <f>IF(   UNOS!$K$57,   1,  IF(   UNOS!$K$142,   $AE$39,    $AE$38   )   )</f>
        <v>0.95</v>
      </c>
      <c r="I57" s="227">
        <f>IF(UNOS!$K$145,$AE$45,IF(UNOS!$K$146,$AE$44,IF(UNOS!$K$147,$AE$43,"ПРОВЕРА УНОСА")))</f>
        <v>0.92</v>
      </c>
      <c r="J57" s="228">
        <f t="shared" si="4"/>
        <v>0.68171999999999999</v>
      </c>
      <c r="K57" s="183">
        <f>IF(   $B$235,   UNOS!$C$132,   G57   )</f>
        <v>0.85</v>
      </c>
      <c r="L57" s="127">
        <f>IF(   UNOS!$K$154, $AE$39,  H57   )</f>
        <v>0.98</v>
      </c>
      <c r="M57" s="127">
        <f>IF(UNOS!$K$159,$AE$43,IF(UNOS!$K$158,$AE$44,I57))</f>
        <v>0.95</v>
      </c>
      <c r="N57" s="229">
        <f t="shared" si="5"/>
        <v>0.79134999999999989</v>
      </c>
      <c r="O57" s="176">
        <v>1</v>
      </c>
      <c r="Q57" s="243" t="str">
        <f>UNOS!E49</f>
        <v>t</v>
      </c>
      <c r="R57" s="244">
        <f>UNOS!G49</f>
        <v>18000000</v>
      </c>
      <c r="S57" s="245" t="str">
        <f>UNOS!H49</f>
        <v>kJ/t</v>
      </c>
      <c r="T57" s="254">
        <f>UNOS!I49</f>
        <v>2.0000000000000001E-4</v>
      </c>
      <c r="U57" s="44">
        <f t="shared" si="6"/>
        <v>4.6920000000000011</v>
      </c>
      <c r="V57" s="243">
        <f>UNOS!F49</f>
        <v>32000</v>
      </c>
      <c r="W57" s="246">
        <f t="shared" si="7"/>
        <v>6.4</v>
      </c>
      <c r="X57" s="44" t="str">
        <f t="shared" si="8"/>
        <v/>
      </c>
      <c r="Y57" s="44" t="str">
        <f>IF(D57="","",   IF(   $B$132,  KALKULATOR!X57*KALKULATOR!$B$138,""))</f>
        <v/>
      </c>
      <c r="Z57" s="177"/>
      <c r="AA57" s="127"/>
      <c r="AB57" s="125">
        <v>0</v>
      </c>
      <c r="AC57" s="248" t="str">
        <f t="shared" si="9"/>
        <v/>
      </c>
      <c r="AD57" s="238" t="str">
        <f>IF(D57="","",   IF(   $B$132,  AC57*KALKULATOR!$B$138,""))</f>
        <v/>
      </c>
      <c r="AF57" s="168"/>
      <c r="AG57" s="225" t="s">
        <v>254</v>
      </c>
      <c r="AH57" s="169" t="s">
        <v>255</v>
      </c>
    </row>
    <row r="58" spans="1:37">
      <c r="A58" s="12"/>
      <c r="B58" s="242" t="s">
        <v>33</v>
      </c>
      <c r="C58" s="226" t="str">
        <f>IF(D58="","",D58*(1-H58*I58*0.99))</f>
        <v/>
      </c>
      <c r="D58" s="226" t="str">
        <f t="shared" si="2"/>
        <v/>
      </c>
      <c r="E58" s="226" t="str">
        <f t="shared" si="3"/>
        <v/>
      </c>
      <c r="G58" s="177">
        <f>X47</f>
        <v>2.5</v>
      </c>
      <c r="H58" s="127">
        <f>IF(   UNOS!$K$57,   1,  IF(   UNOS!$K$142,   $AE$39,    $AE$38   )   )</f>
        <v>0.95</v>
      </c>
      <c r="I58" s="227">
        <f>IF(UNOS!$K$145,$AE$45,IF(UNOS!$K$146,$AE$44,IF(UNOS!$K$147,$AE$43,"ПРОВЕРА УНОСА")))</f>
        <v>0.92</v>
      </c>
      <c r="J58" s="228">
        <f t="shared" si="4"/>
        <v>2.1850000000000001</v>
      </c>
      <c r="K58" s="183">
        <f>IF(   $B$235,   UNOS!$C$132,   G58   )</f>
        <v>0.85</v>
      </c>
      <c r="L58" s="127">
        <f>IF(   UNOS!$K$154, $AE$39,  H58   )</f>
        <v>0.98</v>
      </c>
      <c r="M58" s="127">
        <f>IF(UNOS!$K$159,$AE$43,IF(UNOS!$K$158,$AE$44,I58))</f>
        <v>0.95</v>
      </c>
      <c r="N58" s="229">
        <f t="shared" si="5"/>
        <v>0.79134999999999989</v>
      </c>
      <c r="O58" s="176">
        <v>3.0150000000000001</v>
      </c>
      <c r="Q58" s="243" t="str">
        <f>UNOS!E50</f>
        <v>kWh</v>
      </c>
      <c r="R58" s="244">
        <f>UNOS!G50</f>
        <v>1</v>
      </c>
      <c r="S58" s="245" t="str">
        <f>UNOS!H50</f>
        <v>kWh/kWh</v>
      </c>
      <c r="T58" s="44">
        <f>UNOS!I50</f>
        <v>1</v>
      </c>
      <c r="U58" s="44">
        <f t="shared" si="6"/>
        <v>23460.000000000004</v>
      </c>
      <c r="V58" s="243">
        <f>UNOS!F50</f>
        <v>8000</v>
      </c>
      <c r="W58" s="246">
        <f t="shared" si="7"/>
        <v>8000</v>
      </c>
      <c r="X58" s="44" t="str">
        <f t="shared" si="8"/>
        <v/>
      </c>
      <c r="Y58" s="44" t="str">
        <f>IF(D58="","",   IF(   $B$132,  KALKULATOR!X58*KALKULATOR!$B$138,""))</f>
        <v/>
      </c>
      <c r="Z58" s="177"/>
      <c r="AA58" s="127"/>
      <c r="AB58" s="125">
        <v>0.36499999999999999</v>
      </c>
      <c r="AC58" s="248" t="str">
        <f t="shared" si="9"/>
        <v/>
      </c>
      <c r="AD58" s="238" t="str">
        <f>IF(D58="","",   IF(   $B$132,  AC58*KALKULATOR!$B$138,""))</f>
        <v/>
      </c>
      <c r="AF58" s="177" t="s">
        <v>457</v>
      </c>
      <c r="AG58" s="125">
        <v>9.0190000000000001</v>
      </c>
      <c r="AH58" s="178">
        <v>2.2770000000000001</v>
      </c>
    </row>
    <row r="59" spans="1:37" ht="15" thickBot="1">
      <c r="A59" s="12"/>
      <c r="B59" s="255" t="s">
        <v>140</v>
      </c>
      <c r="C59" s="226" t="str">
        <f>IF(D59="","",D59*(1-J59))</f>
        <v/>
      </c>
      <c r="D59" s="226" t="str">
        <f t="shared" si="2"/>
        <v/>
      </c>
      <c r="E59" s="226" t="str">
        <f t="shared" si="3"/>
        <v/>
      </c>
      <c r="G59" s="161">
        <v>0.98</v>
      </c>
      <c r="H59" s="256">
        <f>IF(   UNOS!$K$57,   1,  IF(   UNOS!$K$142,   $AE$39,    $AE$38   )   )</f>
        <v>0.95</v>
      </c>
      <c r="I59" s="227">
        <f>IF(UNOS!$K$145,$AE$45,IF(UNOS!$K$146,$AE$44,IF(UNOS!$K$147,$AE$43,"ПРОВЕРА УНОСА")))</f>
        <v>0.92</v>
      </c>
      <c r="J59" s="257">
        <f t="shared" si="4"/>
        <v>0.85651999999999995</v>
      </c>
      <c r="K59" s="195">
        <f>IF(   $B$235,   UNOS!$C$132,   G59   )</f>
        <v>0.85</v>
      </c>
      <c r="L59" s="256">
        <f>IF(   UNOS!$K$154, $AE$39,  H59   )</f>
        <v>0.98</v>
      </c>
      <c r="M59" s="256">
        <f>IF(UNOS!$K$159,$AE$43,IF(UNOS!$K$158,$AE$44,I59))</f>
        <v>0.95</v>
      </c>
      <c r="N59" s="258">
        <f t="shared" si="5"/>
        <v>0.79134999999999989</v>
      </c>
      <c r="O59" s="194">
        <v>1.56</v>
      </c>
      <c r="Q59" s="259" t="str">
        <f>UNOS!E51</f>
        <v>kWh</v>
      </c>
      <c r="R59" s="260">
        <f>UNOS!G51</f>
        <v>1</v>
      </c>
      <c r="S59" s="261" t="str">
        <f>UNOS!H51</f>
        <v>kWh/kWh</v>
      </c>
      <c r="T59" s="50">
        <f>UNOS!I51</f>
        <v>1</v>
      </c>
      <c r="U59" s="50">
        <f t="shared" si="6"/>
        <v>23460.000000000004</v>
      </c>
      <c r="V59" s="262">
        <f>UNOS!F51</f>
        <v>8000</v>
      </c>
      <c r="W59" s="263">
        <f t="shared" si="7"/>
        <v>8000</v>
      </c>
      <c r="X59" s="50" t="str">
        <f t="shared" si="8"/>
        <v/>
      </c>
      <c r="Y59" s="50" t="str">
        <f>IF(D59="","",   IF(   $B$132,  KALKULATOR!X59*KALKULATOR!$B$138,""))</f>
        <v/>
      </c>
      <c r="Z59" s="161"/>
      <c r="AA59" s="256"/>
      <c r="AB59" s="181">
        <v>0.184</v>
      </c>
      <c r="AC59" s="264" t="str">
        <f t="shared" si="9"/>
        <v/>
      </c>
      <c r="AD59" s="238" t="str">
        <f>IF(D59="","",   IF(   $B$132,  AC59*KALKULATOR!$B$138,""))</f>
        <v/>
      </c>
      <c r="AF59" s="177" t="s">
        <v>458</v>
      </c>
      <c r="AG59" s="125">
        <v>13.6638</v>
      </c>
      <c r="AH59" s="178">
        <v>3.4159999999999999</v>
      </c>
    </row>
    <row r="60" spans="1:37" ht="15" thickBot="1">
      <c r="A60" s="12"/>
      <c r="B60" s="207"/>
      <c r="Q60" s="265"/>
      <c r="R60" s="265"/>
      <c r="S60" s="265"/>
      <c r="T60" s="265"/>
      <c r="U60" s="265"/>
      <c r="V60" s="265"/>
      <c r="W60" s="266" t="s">
        <v>202</v>
      </c>
      <c r="X60" s="214">
        <f>SUM(X52:X59)</f>
        <v>80000.000000000015</v>
      </c>
      <c r="Y60" s="214">
        <f>IF(B132,IF(SUM(Y52:Y59)=AVERAGE(Y52:Y59),SUM(Y52:Y59),"ГРЕШКА"),0)</f>
        <v>42569.176090084322</v>
      </c>
      <c r="AC60" s="213">
        <f>SUM(AC52:AC59)</f>
        <v>0</v>
      </c>
      <c r="AD60" s="214">
        <f>IF(   B134, IF(SUM(AD52:AD59)=AVERAGE(AD52:AD59),SUM(AD52:AD59),"ГРЕШКА"),0)</f>
        <v>0</v>
      </c>
      <c r="AF60" s="161" t="s">
        <v>459</v>
      </c>
      <c r="AG60" s="181">
        <v>27.3276</v>
      </c>
      <c r="AH60" s="162">
        <v>6.8319000000000001</v>
      </c>
    </row>
    <row r="61" spans="1:37">
      <c r="A61" s="12"/>
      <c r="B61" s="207"/>
      <c r="Q61" s="267"/>
      <c r="R61" s="267"/>
      <c r="S61" s="267"/>
      <c r="T61" s="267"/>
      <c r="U61" s="267"/>
      <c r="V61" s="267"/>
      <c r="W61" s="268"/>
      <c r="X61" s="267"/>
      <c r="Y61" s="267"/>
      <c r="AC61" s="267"/>
      <c r="AD61" s="267"/>
    </row>
    <row r="62" spans="1:37" s="271" customFormat="1" ht="5.0999999999999996" customHeight="1">
      <c r="A62" s="269"/>
      <c r="B62" s="270"/>
      <c r="Q62" s="272"/>
      <c r="R62" s="272"/>
      <c r="S62" s="272"/>
      <c r="T62" s="272"/>
      <c r="U62" s="272"/>
      <c r="V62" s="272"/>
      <c r="W62" s="273"/>
      <c r="X62" s="272"/>
      <c r="Y62" s="272"/>
      <c r="AC62" s="272"/>
      <c r="AD62" s="272"/>
    </row>
    <row r="63" spans="1:37" ht="15" thickBot="1">
      <c r="A63" s="12"/>
      <c r="B63" s="207"/>
      <c r="Q63" s="267"/>
      <c r="R63" s="267"/>
      <c r="S63" s="267"/>
      <c r="T63" s="267"/>
      <c r="U63" s="267"/>
      <c r="V63" s="267"/>
      <c r="W63" s="268"/>
    </row>
    <row r="64" spans="1:37" ht="16.2">
      <c r="A64" s="12"/>
      <c r="B64" s="21" t="s">
        <v>114</v>
      </c>
      <c r="C64" s="207"/>
      <c r="D64" s="207"/>
      <c r="K64" s="274" t="s">
        <v>326</v>
      </c>
      <c r="L64" s="275" t="s">
        <v>327</v>
      </c>
    </row>
    <row r="65" spans="1:12">
      <c r="A65" s="12"/>
      <c r="B65" s="276">
        <f>E47</f>
        <v>0.72055758601278397</v>
      </c>
      <c r="C65" s="277" t="s">
        <v>790</v>
      </c>
      <c r="D65" s="207"/>
      <c r="K65" s="239" t="s">
        <v>63</v>
      </c>
      <c r="L65" s="278">
        <v>3.5</v>
      </c>
    </row>
    <row r="66" spans="1:12" ht="15" thickBot="1">
      <c r="A66" s="12"/>
      <c r="B66" s="279" t="b">
        <f>UNOS!K14</f>
        <v>1</v>
      </c>
      <c r="C66" s="277" t="s">
        <v>222</v>
      </c>
      <c r="K66" s="280" t="s">
        <v>64</v>
      </c>
      <c r="L66" s="281">
        <v>5.8</v>
      </c>
    </row>
    <row r="67" spans="1:12">
      <c r="A67" s="12"/>
      <c r="B67" s="21" t="s">
        <v>115</v>
      </c>
      <c r="C67" s="207"/>
      <c r="D67" s="207"/>
      <c r="K67" s="12"/>
      <c r="L67" s="206"/>
    </row>
    <row r="68" spans="1:12" ht="16.8" thickBot="1">
      <c r="A68" s="12" t="s">
        <v>121</v>
      </c>
      <c r="B68" s="282">
        <f>UNOS!F60</f>
        <v>20</v>
      </c>
      <c r="C68" s="277" t="s">
        <v>122</v>
      </c>
      <c r="D68" s="207"/>
      <c r="K68" s="12"/>
      <c r="L68" s="206"/>
    </row>
    <row r="69" spans="1:12" ht="16.8" thickBot="1">
      <c r="A69" s="12"/>
      <c r="B69" s="283" t="str">
        <f>IF(UNOS!K62=TRUE,UNOS!C62,IF(UNOS!K63=TRUE,UNOS!C63,"ГРЕШКА"))</f>
        <v>дрвени</v>
      </c>
      <c r="C69" s="277" t="s">
        <v>273</v>
      </c>
      <c r="D69" s="207"/>
      <c r="K69" s="284" t="s">
        <v>328</v>
      </c>
      <c r="L69" s="285" t="s">
        <v>327</v>
      </c>
    </row>
    <row r="70" spans="1:12">
      <c r="A70" s="12"/>
      <c r="B70" s="283" t="str">
        <f>IF(UNOS!K65=TRUE,"једноструки",IF(UNOS!K66=TRUE,"спојени двоструки",IF(UNOS!K67=TRUE,"дупла крила","ПРОВЕРИТИ УНОС")))</f>
        <v>дупла крила</v>
      </c>
      <c r="C70" s="277" t="s">
        <v>274</v>
      </c>
      <c r="D70" s="207"/>
      <c r="K70" s="576" t="s">
        <v>10</v>
      </c>
      <c r="L70" s="577"/>
    </row>
    <row r="71" spans="1:12" ht="16.2">
      <c r="A71" s="12" t="s">
        <v>117</v>
      </c>
      <c r="B71" s="286">
        <f>IF(UNOS!K62,IF(UNOS!K65,L71,IF(UNOS!K66,L72,L73)),IF(UNOS!K65,L75,IF(UNOS!K66,L76,L77)))</f>
        <v>2.2999999999999998</v>
      </c>
      <c r="C71" s="207"/>
      <c r="D71" s="207"/>
      <c r="K71" s="239" t="s">
        <v>330</v>
      </c>
      <c r="L71" s="278">
        <v>5.2</v>
      </c>
    </row>
    <row r="72" spans="1:12">
      <c r="A72" s="12"/>
      <c r="B72" s="21" t="s">
        <v>116</v>
      </c>
      <c r="C72" s="207"/>
      <c r="D72" s="207"/>
      <c r="K72" s="239" t="s">
        <v>331</v>
      </c>
      <c r="L72" s="278">
        <v>3.3</v>
      </c>
    </row>
    <row r="73" spans="1:12" ht="15" thickBot="1">
      <c r="A73" s="12" t="s">
        <v>34</v>
      </c>
      <c r="B73" s="283">
        <f>UNOS!C75</f>
        <v>0</v>
      </c>
      <c r="C73" s="207"/>
      <c r="D73" s="207"/>
      <c r="K73" s="280" t="s">
        <v>329</v>
      </c>
      <c r="L73" s="281">
        <v>2.2999999999999998</v>
      </c>
    </row>
    <row r="74" spans="1:12">
      <c r="A74" s="12" t="s">
        <v>35</v>
      </c>
      <c r="B74" s="283">
        <f>UNOS!C76</f>
        <v>0</v>
      </c>
      <c r="C74" s="207"/>
      <c r="D74" s="207"/>
      <c r="K74" s="576" t="s">
        <v>11</v>
      </c>
      <c r="L74" s="577"/>
    </row>
    <row r="75" spans="1:12" ht="16.2">
      <c r="A75" s="12" t="s">
        <v>118</v>
      </c>
      <c r="B75" s="286">
        <f>UNOS!C77</f>
        <v>1.3</v>
      </c>
      <c r="C75" s="207"/>
      <c r="D75" s="207"/>
      <c r="K75" s="239" t="s">
        <v>330</v>
      </c>
      <c r="L75" s="278">
        <v>5.8</v>
      </c>
    </row>
    <row r="76" spans="1:12">
      <c r="A76" s="12"/>
      <c r="B76" s="21" t="s">
        <v>119</v>
      </c>
      <c r="C76" s="207"/>
      <c r="D76" s="207"/>
      <c r="K76" s="239" t="s">
        <v>331</v>
      </c>
      <c r="L76" s="278">
        <v>4</v>
      </c>
    </row>
    <row r="77" spans="1:12" ht="16.8" thickBot="1">
      <c r="A77" s="12" t="s">
        <v>121</v>
      </c>
      <c r="B77" s="282">
        <f>UNOS!F69</f>
        <v>2</v>
      </c>
      <c r="C77" s="277" t="s">
        <v>123</v>
      </c>
      <c r="D77" s="207"/>
      <c r="K77" s="280" t="s">
        <v>329</v>
      </c>
      <c r="L77" s="281">
        <v>3.3</v>
      </c>
    </row>
    <row r="78" spans="1:12">
      <c r="A78" s="12"/>
      <c r="B78" s="277" t="str">
        <f>IF(UNOS!K71=TRUE,UNOS!C71,IF(UNOS!K72=TRUE,UNOS!C72,"ПРОВЕРИТИ УНОС"))</f>
        <v>дрвена</v>
      </c>
      <c r="C78" s="277" t="s">
        <v>275</v>
      </c>
      <c r="D78" s="207"/>
    </row>
    <row r="79" spans="1:12" ht="16.2">
      <c r="A79" s="12" t="s">
        <v>117</v>
      </c>
      <c r="B79" s="286">
        <f>IF(UNOS!K71=TRUE,L65,L66)</f>
        <v>3.5</v>
      </c>
      <c r="C79" s="207"/>
      <c r="D79" s="207"/>
    </row>
    <row r="80" spans="1:12">
      <c r="A80" s="12"/>
      <c r="B80" s="21" t="s">
        <v>120</v>
      </c>
      <c r="C80" s="207"/>
      <c r="D80" s="207"/>
      <c r="K80" s="9" t="s">
        <v>164</v>
      </c>
    </row>
    <row r="81" spans="1:14">
      <c r="A81" s="12" t="s">
        <v>34</v>
      </c>
      <c r="B81" s="283">
        <f>UNOS!C79</f>
        <v>0</v>
      </c>
      <c r="C81" s="207"/>
      <c r="D81" s="207"/>
      <c r="K81" s="287" t="s">
        <v>165</v>
      </c>
      <c r="L81" s="156" t="s">
        <v>168</v>
      </c>
      <c r="M81" s="156" t="s">
        <v>167</v>
      </c>
      <c r="N81" s="156" t="s">
        <v>166</v>
      </c>
    </row>
    <row r="82" spans="1:14">
      <c r="A82" s="12" t="s">
        <v>35</v>
      </c>
      <c r="B82" s="283">
        <f>UNOS!C80</f>
        <v>0</v>
      </c>
      <c r="C82" s="207"/>
      <c r="D82" s="207"/>
      <c r="K82" s="288" t="s">
        <v>169</v>
      </c>
      <c r="L82" s="156">
        <v>1.5</v>
      </c>
      <c r="M82" s="156">
        <v>0.8</v>
      </c>
      <c r="N82" s="156">
        <v>0.5</v>
      </c>
    </row>
    <row r="83" spans="1:14" ht="16.2">
      <c r="A83" s="12" t="s">
        <v>118</v>
      </c>
      <c r="B83" s="286">
        <f>UNOS!C81</f>
        <v>1.6</v>
      </c>
      <c r="C83" s="207"/>
      <c r="D83" s="207"/>
      <c r="K83" s="288" t="s">
        <v>170</v>
      </c>
      <c r="L83" s="156">
        <v>1.1000000000000001</v>
      </c>
      <c r="M83" s="156">
        <v>0.6</v>
      </c>
      <c r="N83" s="156">
        <v>0.5</v>
      </c>
    </row>
    <row r="84" spans="1:14">
      <c r="A84" s="12"/>
      <c r="B84" s="21" t="s">
        <v>134</v>
      </c>
      <c r="C84" s="207"/>
      <c r="D84" s="207"/>
      <c r="K84" s="288" t="s">
        <v>171</v>
      </c>
      <c r="L84" s="156">
        <v>0.76</v>
      </c>
      <c r="M84" s="156">
        <v>0.5</v>
      </c>
      <c r="N84" s="156">
        <v>0.5</v>
      </c>
    </row>
    <row r="85" spans="1:14" ht="15.6">
      <c r="A85" s="12" t="s">
        <v>125</v>
      </c>
      <c r="B85" s="289">
        <f>IF(B66,B71*B68*24*C22/1000*C28+B79*B77*24*C22/1000*C28,0)  *  IF(KALKULATOR!E47&gt;0,KALKULATOR!E47,1)</f>
        <v>1990.2042056575922</v>
      </c>
      <c r="C85" s="277" t="s">
        <v>126</v>
      </c>
      <c r="D85" s="207"/>
      <c r="J85" s="21"/>
    </row>
    <row r="86" spans="1:14" ht="16.8">
      <c r="A86" s="12" t="s">
        <v>124</v>
      </c>
      <c r="B86" s="289">
        <f>IF(B66,B75*B68*24*C22/1000*C28+B83*B77*24*C22/1000*C28,0)    *  IF(KALKULATOR!E47&gt;0,KALKULATOR!E47,1)</f>
        <v>1096.4898642490887</v>
      </c>
      <c r="C86" s="277" t="s">
        <v>127</v>
      </c>
      <c r="D86" s="207"/>
    </row>
    <row r="87" spans="1:14" ht="15.6">
      <c r="A87" s="12" t="s">
        <v>128</v>
      </c>
      <c r="B87" s="289">
        <f>B85-B86</f>
        <v>893.71434140850351</v>
      </c>
      <c r="C87" s="277" t="s">
        <v>129</v>
      </c>
      <c r="D87" s="207"/>
    </row>
    <row r="88" spans="1:14">
      <c r="A88" s="12"/>
      <c r="B88" s="290">
        <f>IF('ENERGETSKI KALKULATOR'!D16=KALKULATOR!L81,VLOOKUP('ENERGETSKI KALKULATOR'!I18,KALKULATOR!K82:L84,2,FALSE),IF('ENERGETSKI KALKULATOR'!D16=M81,VLOOKUP('ENERGETSKI KALKULATOR'!I18,K82:M84,3,FALSE),0.5))</f>
        <v>1.5</v>
      </c>
      <c r="C88" s="277" t="s">
        <v>175</v>
      </c>
      <c r="D88" s="207"/>
    </row>
    <row r="89" spans="1:14">
      <c r="A89" s="12"/>
      <c r="B89" s="290">
        <v>0.5</v>
      </c>
      <c r="C89" s="277" t="s">
        <v>174</v>
      </c>
      <c r="D89" s="207"/>
    </row>
    <row r="90" spans="1:14" ht="15.6">
      <c r="A90" s="12" t="s">
        <v>130</v>
      </c>
      <c r="B90" s="289">
        <f>IF(UNOS!K14,0.33*C26*B88*24*KALKULATOR!C22/1000*C28,0)         *  IF(KALKULATOR!E47&gt;0,KALKULATOR!E47,1)</f>
        <v>4014.9553522435804</v>
      </c>
      <c r="C90" s="277" t="s">
        <v>271</v>
      </c>
      <c r="D90" s="207"/>
    </row>
    <row r="91" spans="1:14" ht="16.8">
      <c r="A91" s="12" t="s">
        <v>131</v>
      </c>
      <c r="B91" s="289">
        <f>IF(UNOS!K14,0.33*C26*B89*24*KALKULATOR!C22/1000*C28,0)             *  IF(KALKULATOR!E47&gt;0,KALKULATOR!E47,1)</f>
        <v>1338.3184507478602</v>
      </c>
      <c r="C91" s="277" t="s">
        <v>272</v>
      </c>
      <c r="D91" s="207"/>
    </row>
    <row r="92" spans="1:14" ht="15.6">
      <c r="A92" s="12" t="s">
        <v>132</v>
      </c>
      <c r="B92" s="289">
        <f>B90-B91</f>
        <v>2676.6369014957199</v>
      </c>
      <c r="C92" s="277" t="s">
        <v>505</v>
      </c>
      <c r="D92" s="207"/>
    </row>
    <row r="93" spans="1:14" ht="15.6">
      <c r="A93" s="90" t="s">
        <v>133</v>
      </c>
      <c r="B93" s="291">
        <f>B87+B92</f>
        <v>3570.3512429042235</v>
      </c>
      <c r="C93" s="153" t="s">
        <v>344</v>
      </c>
      <c r="D93" s="292"/>
    </row>
    <row r="94" spans="1:14">
      <c r="A94" s="90"/>
      <c r="B94" s="291">
        <f>IF(B66,B93/$B$139,0)</f>
        <v>6007.4559881952873</v>
      </c>
      <c r="C94" s="153" t="s">
        <v>363</v>
      </c>
      <c r="D94" s="292"/>
    </row>
    <row r="95" spans="1:14">
      <c r="A95" s="90"/>
      <c r="B95" s="291">
        <f>IF(B66,B94*$B$143,0)</f>
        <v>6007.4559881952873</v>
      </c>
      <c r="C95" s="153" t="s">
        <v>364</v>
      </c>
      <c r="D95" s="292"/>
    </row>
    <row r="96" spans="1:14">
      <c r="A96" s="90"/>
      <c r="B96" s="291">
        <f>IF(B66,B94*$B$147,0)</f>
        <v>20485.783420955795</v>
      </c>
      <c r="C96" s="153" t="s">
        <v>365</v>
      </c>
      <c r="D96" s="292"/>
    </row>
    <row r="97" spans="1:30" ht="15.6">
      <c r="A97" s="90"/>
      <c r="B97" s="291">
        <f>IF(B66,B95*$B$151,0)</f>
        <v>0</v>
      </c>
      <c r="C97" s="153" t="s">
        <v>366</v>
      </c>
      <c r="D97" s="292"/>
    </row>
    <row r="98" spans="1:30">
      <c r="A98" s="12"/>
      <c r="B98" s="207"/>
      <c r="C98" s="207"/>
      <c r="D98" s="207"/>
    </row>
    <row r="99" spans="1:30" s="271" customFormat="1" ht="5.0999999999999996" customHeight="1">
      <c r="A99" s="269"/>
      <c r="B99" s="270"/>
      <c r="Q99" s="272"/>
      <c r="R99" s="272"/>
      <c r="S99" s="272"/>
      <c r="T99" s="272"/>
      <c r="U99" s="272"/>
      <c r="V99" s="272"/>
      <c r="W99" s="273"/>
      <c r="X99" s="272"/>
      <c r="Y99" s="272"/>
      <c r="AC99" s="272"/>
      <c r="AD99" s="272"/>
    </row>
    <row r="100" spans="1:30">
      <c r="A100" s="12"/>
      <c r="B100" s="207"/>
      <c r="Q100" s="267"/>
      <c r="R100" s="267"/>
      <c r="S100" s="267"/>
      <c r="T100" s="267"/>
      <c r="U100" s="267"/>
      <c r="V100" s="267"/>
      <c r="W100" s="268"/>
    </row>
    <row r="101" spans="1:30">
      <c r="B101" s="21" t="s">
        <v>98</v>
      </c>
    </row>
    <row r="102" spans="1:30">
      <c r="B102" s="21" t="s">
        <v>99</v>
      </c>
    </row>
    <row r="103" spans="1:30">
      <c r="B103" s="276">
        <f>IF($I$5="",1,KALKULATOR!$E$47)</f>
        <v>1</v>
      </c>
      <c r="C103" s="277" t="s">
        <v>790</v>
      </c>
    </row>
    <row r="104" spans="1:30">
      <c r="A104" s="12"/>
      <c r="B104" s="279" t="b">
        <f>UNOS!K15</f>
        <v>0</v>
      </c>
      <c r="C104" s="277" t="s">
        <v>224</v>
      </c>
    </row>
    <row r="105" spans="1:30">
      <c r="A105" s="12"/>
      <c r="B105" s="279" t="b">
        <f>UNOS!K16</f>
        <v>1</v>
      </c>
      <c r="C105" s="277" t="s">
        <v>223</v>
      </c>
    </row>
    <row r="106" spans="1:30">
      <c r="B106" s="21" t="s">
        <v>92</v>
      </c>
    </row>
    <row r="107" spans="1:30">
      <c r="B107" s="9" t="s">
        <v>93</v>
      </c>
    </row>
    <row r="108" spans="1:30">
      <c r="B108" s="557" t="s">
        <v>102</v>
      </c>
      <c r="C108" s="558"/>
      <c r="D108" s="559"/>
      <c r="E108" s="557" t="s">
        <v>103</v>
      </c>
      <c r="F108" s="559"/>
      <c r="L108" s="116"/>
    </row>
    <row r="109" spans="1:30">
      <c r="A109" s="90" t="str">
        <f>UNOS!D85</f>
        <v>конструкција:</v>
      </c>
      <c r="B109" s="293">
        <f>UNOS!E85</f>
        <v>1</v>
      </c>
      <c r="C109" s="293">
        <f>UNOS!F85</f>
        <v>2</v>
      </c>
      <c r="D109" s="293">
        <f>UNOS!G85</f>
        <v>3</v>
      </c>
      <c r="E109" s="293">
        <f>UNOS!H85</f>
        <v>4</v>
      </c>
      <c r="F109" s="293">
        <f>UNOS!I85</f>
        <v>5</v>
      </c>
    </row>
    <row r="110" spans="1:30" ht="28.8">
      <c r="A110" s="90"/>
      <c r="B110" s="294" t="str">
        <f>UNOS!E86</f>
        <v>Спољни зид</v>
      </c>
      <c r="C110" s="294" t="str">
        <f>UNOS!F86</f>
        <v>Под на тлу</v>
      </c>
      <c r="D110" s="294" t="str">
        <f>UNOS!G86</f>
        <v>Под изнад негрејаног простора</v>
      </c>
      <c r="E110" s="294" t="str">
        <f>UNOS!H86</f>
        <v>Таваница испод негрејаног простора</v>
      </c>
      <c r="F110" s="294" t="str">
        <f>UNOS!I86</f>
        <v>Кров изнад грејаног простора</v>
      </c>
    </row>
    <row r="111" spans="1:30" ht="30" customHeight="1">
      <c r="A111" s="12" t="s">
        <v>284</v>
      </c>
      <c r="B111" s="295" t="str">
        <f>IF(   SUM(  UNOS!E87:E116  ) = 0,   "по типологији",   IF(   UNOS!E116  = 0,   "по саставу конструкције",   "по дебљини конструкције"   ))</f>
        <v>по типологији</v>
      </c>
      <c r="C111" s="295" t="str">
        <f>IF(   SUM(  UNOS!F87:F116  ) = 0,   "по типологији",   IF(   UNOS!F116  = 0,   "по саставу конструкције",   "по дебљини конструкције"   ))</f>
        <v>по типологији</v>
      </c>
      <c r="D111" s="295" t="str">
        <f>IF(   SUM(  UNOS!G87:G116  ) = 0,   "по типологији",   IF(   UNOS!G116  = 0,   "по саставу конструкције",   "по дебљини конструкције"   ))</f>
        <v>по типологији</v>
      </c>
      <c r="E111" s="295" t="str">
        <f>IF(   SUM(  UNOS!H87:H116  ) = 0,   "по типологији",   IF(   UNOS!H116  = 0,   "по саставу конструкције",   "по дебљини конструкције"   ))</f>
        <v>по типологији</v>
      </c>
      <c r="F111" s="295" t="str">
        <f>IF(   SUM(  UNOS!I87:I116  ) = 0,   "по типологији",   IF(   UNOS!I116  = 0,   "по саставу конструкције",   "по дебљини конструкције"   ))</f>
        <v>по дебљини конструкције</v>
      </c>
    </row>
    <row r="112" spans="1:30" ht="16.2">
      <c r="A112" s="12" t="s">
        <v>282</v>
      </c>
      <c r="B112" s="296">
        <f>IF(B104,1/VLOOKUP($C$27,$G$38:$O$45,2,FALSE),0)</f>
        <v>0</v>
      </c>
      <c r="C112" s="296">
        <f>IF(B104,1/VLOOKUP($C$27,$G$38:$O$45,4,FALSE),0)</f>
        <v>0</v>
      </c>
      <c r="D112" s="296">
        <f>IF(B104,1/VLOOKUP($C$27,$G$38:$O$45,6,FALSE),0)</f>
        <v>0</v>
      </c>
      <c r="E112" s="296">
        <f>IF(B105,1/VLOOKUP($C$27,$G$38:$O$45,8,FALSE),0)</f>
        <v>1.4084507042253522</v>
      </c>
      <c r="F112" s="296">
        <f>IF(B105,1/VLOOKUP($C$27,G37:P45,10,FALSE),0)</f>
        <v>0.76335877862595414</v>
      </c>
    </row>
    <row r="113" spans="1:6" ht="16.2">
      <c r="A113" s="12" t="s">
        <v>104</v>
      </c>
      <c r="B113" s="157">
        <v>0.17</v>
      </c>
      <c r="C113" s="157">
        <v>0.17</v>
      </c>
      <c r="D113" s="157">
        <v>0.34</v>
      </c>
      <c r="E113" s="157">
        <v>0.2</v>
      </c>
      <c r="F113" s="157">
        <v>0.14000000000000001</v>
      </c>
    </row>
    <row r="114" spans="1:6" ht="16.2">
      <c r="A114" s="12" t="s">
        <v>281</v>
      </c>
      <c r="B114" s="296">
        <f>IF(   B111="по дебљини конструкције", B113+UNOS!E116/100/UNOS!$K116,  B113 + SUMPRODUCT(UNOS!E87:E115,UNOS!$L87:$L115)/100)</f>
        <v>0.17</v>
      </c>
      <c r="C114" s="296">
        <f>IF(   C111="по дебљини конструкције", C113+UNOS!F116/100/UNOS!$K116,  C113 + SUMPRODUCT(UNOS!F87:F115,UNOS!$L87:$L115)/100)</f>
        <v>0.17</v>
      </c>
      <c r="D114" s="296">
        <f>IF(   D111="по дебљини конструкције", D113+UNOS!G116/100/UNOS!$K116,  D113 + SUMPRODUCT(UNOS!G87:G115,UNOS!$L87:$L115)/100)</f>
        <v>0.34</v>
      </c>
      <c r="E114" s="296">
        <f>IF(   E111="по дебљини конструкције", E113+UNOS!H116/100/UNOS!$K116,  E113 + SUMPRODUCT(UNOS!H87:H115,UNOS!$L87:$L115)/100)</f>
        <v>0.2</v>
      </c>
      <c r="F114" s="296">
        <f>IF(   F111="по дебљини конструкције", F113+UNOS!I116/100/UNOS!$K116,  F113 + SUMPRODUCT(UNOS!I87:I115,UNOS!$L87:$L115)/100)</f>
        <v>0.68545454545454543</v>
      </c>
    </row>
    <row r="115" spans="1:6" ht="16.2">
      <c r="A115" s="12" t="s">
        <v>111</v>
      </c>
      <c r="B115" s="296">
        <f>IF(B104,IF(B111="по типологији",1/B112,1/B114),0)</f>
        <v>0</v>
      </c>
      <c r="C115" s="296">
        <f>IF(B104,IF(C111="по типологији",1/C112,1/C114),0)</f>
        <v>0</v>
      </c>
      <c r="D115" s="296">
        <f>IF(B104,IF(D111="по типологији",1/D112,1/D114),0)</f>
        <v>0</v>
      </c>
      <c r="E115" s="296">
        <f>IF(B105,IF(E111="по типологији",1/E112,1/E114),0)</f>
        <v>0.71</v>
      </c>
      <c r="F115" s="296">
        <f>IF(B105,IF(F111="по типологији",1/F112,1/F114),0)</f>
        <v>1.4588859416445623</v>
      </c>
    </row>
    <row r="116" spans="1:6" ht="16.2">
      <c r="A116" s="97" t="s">
        <v>105</v>
      </c>
      <c r="B116" s="157">
        <f>IF(UNOS!E119="",0,UNOS!E119)</f>
        <v>0</v>
      </c>
      <c r="C116" s="157">
        <f>IF(UNOS!F119="",0,UNOS!F119)</f>
        <v>0</v>
      </c>
      <c r="D116" s="157">
        <f>IF(UNOS!G119="",0,UNOS!G119)</f>
        <v>0</v>
      </c>
      <c r="E116" s="157">
        <f>IF(UNOS!H119="",0,UNOS!H119)</f>
        <v>0</v>
      </c>
      <c r="F116" s="157">
        <f>IF(UNOS!I119="",0,UNOS!I119)</f>
        <v>90</v>
      </c>
    </row>
    <row r="117" spans="1:6">
      <c r="A117" s="12" t="s">
        <v>107</v>
      </c>
      <c r="B117" s="157">
        <f>IF(B110   =   "Спољни зид",   1,    IF(B110   =   "Унутрашњи зид ка негрејаном простору",   0.5,    IF(B110   =   "Под на тлу",   0.5,    IF(B110   =   "Под изнад негрејаног простора",   0.5,    IF(B110   =   "Кров изнад грејаног простора",   1,    IF(B110   =   "Таваница испод негрејаног простора",   0.8,    "Трешка у уносу"   )   )   )   )   )   )</f>
        <v>1</v>
      </c>
      <c r="C117" s="157">
        <f>IF(C110   =   "Спољни зид",   1,    IF(C110   =   "Унутрашњи зид ка негрејаном простору",   0.5,    IF(C110   =   "Под на тлу",   0.5,    IF(C110   =   "Под изнад негрејаног простора",   0.5,    IF(C110   =   "Кров изнад грејаног простора",   1,    IF(C110   =   "Таваница испод негрејаног простора",   0.8,    "Трешка у уносу"   )   )   )   )   )   )</f>
        <v>0.5</v>
      </c>
      <c r="D117" s="157">
        <f>IF(D110   =   "Спољни зид",   1,    IF(D110   =   "Унутрашњи зид ка негрејаном простору",   0.5,    IF(D110   =   "Под на тлу",   0.5,    IF(D110   =   "Под изнад негрејаног простора",   0.5,    IF(D110   =   "Кров изнад грејаног простора",   1,    IF(D110   =   "Таваница испод негрејаног простора",   0.8,    "Трешка у уносу"   )   )   )   )   )   )</f>
        <v>0.5</v>
      </c>
      <c r="E117" s="157">
        <f>IF(E110   =   "Спољни зид",   1,    IF(E110   =   "Унутрашњи зид ка негрејаном простору",   0.5,    IF(E110   =   "Под на тлу",   0.5,    IF(E110   =   "Под изнад негрејаног простора",   0.5,    IF(E110   =   "Кров изнад грејаног простора",   1,    IF(E110   =   "Таваница испод негрејаног простора",   0.8,    "Трешка у уносу"   )   )   )   )   )   )</f>
        <v>0.8</v>
      </c>
      <c r="F117" s="157">
        <f>IF(F110   =   "Спољни зид",   1,    IF(F110   =   "Унутрашњи зид ка негрејаном простору",   0.5,    IF(F110   =   "Под на тлу",   0.5,    IF(F110   =   "Под изнад негрејаног простора",   0.5,    IF(F110   =   "Кров изнад грејаног простора",   1,    IF(F110   =   "Таваница испод негрејаног простора",   0.8,    "Трешка у уносу"   )   )   )   )   )   )</f>
        <v>1</v>
      </c>
    </row>
    <row r="118" spans="1:6">
      <c r="A118" s="12" t="s">
        <v>106</v>
      </c>
      <c r="B118" s="297">
        <f>B116*B115*B117</f>
        <v>0</v>
      </c>
      <c r="C118" s="297">
        <f>C116*C115*C117</f>
        <v>0</v>
      </c>
      <c r="D118" s="297">
        <f>D116*D115*D117</f>
        <v>0</v>
      </c>
      <c r="E118" s="297">
        <f>E116*E115*E117</f>
        <v>0</v>
      </c>
      <c r="F118" s="297">
        <f>F116*F115*F117</f>
        <v>131.29973474801062</v>
      </c>
    </row>
    <row r="119" spans="1:6">
      <c r="A119" s="12" t="s">
        <v>136</v>
      </c>
      <c r="B119" s="159">
        <f>B118*$C$22*24/1000*$C$28  *  IF(KALKULATOR!$E$47&gt;0,KALKULATOR!$E$47,1)</f>
        <v>0</v>
      </c>
      <c r="C119" s="159">
        <f>C118*$C$22*24/1000*$C$28  *  IF(KALKULATOR!$E$47&gt;0,KALKULATOR!$E$47,1)</f>
        <v>0</v>
      </c>
      <c r="D119" s="159">
        <f>D118*$C$22*24/1000*$C$28  *  IF(KALKULATOR!$E$47&gt;0,KALKULATOR!$E$47,1)</f>
        <v>0</v>
      </c>
      <c r="E119" s="159">
        <f>E118*$C$22*24/1000*$C$28  *  IF(KALKULATOR!$E$47&gt;0,KALKULATOR!$E$47,1)</f>
        <v>0</v>
      </c>
      <c r="F119" s="159">
        <f>F118*$C$22*24/1000*$C$28  *  IF(KALKULATOR!$E$47&gt;0,KALKULATOR!$E$47,1)</f>
        <v>4930.4393263625861</v>
      </c>
    </row>
    <row r="120" spans="1:6" ht="16.2">
      <c r="A120" s="12" t="s">
        <v>108</v>
      </c>
      <c r="B120" s="296">
        <f>IF(UNOS!E120="",0,UNOS!E120/100/UNOS!E121)</f>
        <v>0</v>
      </c>
      <c r="C120" s="296">
        <f>IF(UNOS!F120="",0,UNOS!F120/100/UNOS!F121)</f>
        <v>0</v>
      </c>
      <c r="D120" s="296">
        <f>IF(UNOS!G120="",0,UNOS!G120/100/UNOS!G121)</f>
        <v>0</v>
      </c>
      <c r="E120" s="296">
        <f>IF(UNOS!H120="",0,UNOS!H120/100/UNOS!H121)</f>
        <v>0</v>
      </c>
      <c r="F120" s="296">
        <f>IF(UNOS!I120="",0,UNOS!I120/100/UNOS!I121)</f>
        <v>2.4390243902439024</v>
      </c>
    </row>
    <row r="121" spans="1:6" ht="16.2">
      <c r="A121" s="12" t="s">
        <v>109</v>
      </c>
      <c r="B121" s="296">
        <f>IF(B115&lt;&gt;0,1/B115+B120,0)</f>
        <v>0</v>
      </c>
      <c r="C121" s="296">
        <f>IF(C115&lt;&gt;0,1/C115+C120,0)</f>
        <v>0</v>
      </c>
      <c r="D121" s="296">
        <f>IF(D115&lt;&gt;0,1/D115+D120,0)</f>
        <v>0</v>
      </c>
      <c r="E121" s="296">
        <f>IF(E115&lt;&gt;0,1/E115+E120,0)</f>
        <v>1.4084507042253522</v>
      </c>
      <c r="F121" s="296">
        <f>IF(F115&lt;&gt;0,1/F115+F120,0)</f>
        <v>3.1244789356984479</v>
      </c>
    </row>
    <row r="122" spans="1:6" ht="16.2">
      <c r="A122" s="12" t="s">
        <v>112</v>
      </c>
      <c r="B122" s="296">
        <f>IF(B104,1/KALKULATOR!B121,0)</f>
        <v>0</v>
      </c>
      <c r="C122" s="296">
        <f>IF(B104,1/KALKULATOR!C121,0)</f>
        <v>0</v>
      </c>
      <c r="D122" s="296">
        <f>IF(B104,1/KALKULATOR!D121,0)</f>
        <v>0</v>
      </c>
      <c r="E122" s="296">
        <f>IF(B105,1/KALKULATOR!E121,0)</f>
        <v>0.71</v>
      </c>
      <c r="F122" s="296">
        <f>IF(B105,1/KALKULATOR!F121,0)</f>
        <v>0.32005336588273697</v>
      </c>
    </row>
    <row r="123" spans="1:6">
      <c r="A123" s="12" t="s">
        <v>110</v>
      </c>
      <c r="B123" s="297">
        <f>B122*B116</f>
        <v>0</v>
      </c>
      <c r="C123" s="297">
        <f>C122*C116</f>
        <v>0</v>
      </c>
      <c r="D123" s="297">
        <f>D122*D116</f>
        <v>0</v>
      </c>
      <c r="E123" s="297">
        <f>E122*E116</f>
        <v>0</v>
      </c>
      <c r="F123" s="297">
        <f>F122*F116</f>
        <v>28.804802929446328</v>
      </c>
    </row>
    <row r="124" spans="1:6">
      <c r="A124" s="12" t="s">
        <v>135</v>
      </c>
      <c r="B124" s="159">
        <f>B123*$C$22*24/1000*$C28  *  IF(KALKULATOR!$E$47&gt;0,KALKULATOR!$E$47,1)</f>
        <v>0</v>
      </c>
      <c r="C124" s="159">
        <f>C123*$C$22*24/1000*$C28  *  IF(KALKULATOR!$E$47&gt;0,KALKULATOR!$E$47,1)</f>
        <v>0</v>
      </c>
      <c r="D124" s="159">
        <f>D123*$C$22*24/1000*$C28  *  IF(KALKULATOR!$E$47&gt;0,KALKULATOR!$E$47,1)</f>
        <v>0</v>
      </c>
      <c r="E124" s="159">
        <f>E123*$C$22*24/1000*$C28  *  IF(KALKULATOR!$E$47&gt;0,KALKULATOR!$E$47,1)</f>
        <v>0</v>
      </c>
      <c r="F124" s="159">
        <f>F123*$C$22*24/1000*$C28  *  IF(KALKULATOR!$E$47&gt;0,KALKULATOR!$E$47,1)</f>
        <v>1081.6498100626834</v>
      </c>
    </row>
    <row r="125" spans="1:6">
      <c r="A125" s="90" t="s">
        <v>356</v>
      </c>
      <c r="B125" s="298">
        <f>IF(UNOS!K15,B119-B124,0)</f>
        <v>0</v>
      </c>
      <c r="C125" s="298">
        <f>IF(UNOS!K15,C119-C124,0)</f>
        <v>0</v>
      </c>
      <c r="D125" s="298">
        <f>IF(UNOS!K15,D119-D124,0)</f>
        <v>0</v>
      </c>
      <c r="E125" s="298">
        <f>IF(UNOS!K16,E119-E124,0)</f>
        <v>0</v>
      </c>
      <c r="F125" s="298">
        <f>IF(UNOS!L16,F119-F124,0)</f>
        <v>3848.789516299903</v>
      </c>
    </row>
    <row r="126" spans="1:6">
      <c r="A126" s="90" t="s">
        <v>357</v>
      </c>
      <c r="B126" s="298">
        <f>IF(B104,B125/$B$139,0)</f>
        <v>0</v>
      </c>
      <c r="C126" s="298">
        <f>IF(B104,C125/$B$139,0)</f>
        <v>0</v>
      </c>
      <c r="D126" s="298">
        <f>IF(B104,D125/$B$139,0)</f>
        <v>0</v>
      </c>
      <c r="E126" s="298">
        <f>IF(B105,E125/$B$139,0)</f>
        <v>0</v>
      </c>
      <c r="F126" s="298">
        <f>IF(B105,F125/$B$139,0)</f>
        <v>6475.9549002219383</v>
      </c>
    </row>
    <row r="127" spans="1:6">
      <c r="A127" s="90" t="s">
        <v>358</v>
      </c>
      <c r="B127" s="298">
        <f>IF(B104,B126*$B$143,0)</f>
        <v>0</v>
      </c>
      <c r="C127" s="298">
        <f>IF(B104,C126*$B$143,0)</f>
        <v>0</v>
      </c>
      <c r="D127" s="298">
        <f>IF(B104,D126*$B$143,0)</f>
        <v>0</v>
      </c>
      <c r="E127" s="298">
        <f>IF(B105,E126*$B$143,0)</f>
        <v>0</v>
      </c>
      <c r="F127" s="298">
        <f>IF(B105,F126*$B$143,0)</f>
        <v>6475.9549002219383</v>
      </c>
    </row>
    <row r="128" spans="1:6">
      <c r="A128" s="90" t="s">
        <v>360</v>
      </c>
      <c r="B128" s="298">
        <f>IF(B104,B126*$B$147,0)</f>
        <v>0</v>
      </c>
      <c r="C128" s="298">
        <f>IF(B104,C126*$B$147,0)</f>
        <v>0</v>
      </c>
      <c r="D128" s="298">
        <f>IF(B104,D126*$B$147,0)</f>
        <v>0</v>
      </c>
      <c r="E128" s="298">
        <f>IF(B105,E126*$B$147,0)</f>
        <v>0</v>
      </c>
      <c r="F128" s="298">
        <f>IF(B105,F126*$B$147,0)</f>
        <v>22083.39266912852</v>
      </c>
    </row>
    <row r="129" spans="1:22" ht="15.6">
      <c r="A129" s="90" t="s">
        <v>359</v>
      </c>
      <c r="B129" s="298">
        <f>IF(B104,B127*$B$151,0)</f>
        <v>0</v>
      </c>
      <c r="C129" s="298">
        <f>IF(B104,C127*$B$151,0)</f>
        <v>0</v>
      </c>
      <c r="D129" s="298">
        <f>IF(B104,D127*$B$151,0)</f>
        <v>0</v>
      </c>
      <c r="E129" s="298">
        <f>IF(B105,E127*$B$151,0)</f>
        <v>0</v>
      </c>
      <c r="F129" s="298">
        <f>IF(B105,F127*$B$151,0)</f>
        <v>0</v>
      </c>
    </row>
    <row r="130" spans="1:22">
      <c r="A130" s="12"/>
      <c r="B130" s="207"/>
      <c r="C130" s="207"/>
      <c r="D130" s="207"/>
    </row>
    <row r="131" spans="1:22">
      <c r="A131" s="299" t="s">
        <v>227</v>
      </c>
      <c r="B131" s="207"/>
      <c r="V131" s="12"/>
    </row>
    <row r="132" spans="1:22">
      <c r="A132" s="12"/>
      <c r="B132" s="300" t="b">
        <f>IF(OR(UNOS!K14,UNOS!K15,UNOS!K16),TRUE,FALSE)</f>
        <v>1</v>
      </c>
      <c r="C132" s="21" t="s">
        <v>188</v>
      </c>
    </row>
    <row r="133" spans="1:22" ht="15.6">
      <c r="A133" s="90" t="s">
        <v>139</v>
      </c>
      <c r="B133" s="301">
        <f>E46</f>
        <v>13942.747200000003</v>
      </c>
      <c r="C133" s="153" t="s">
        <v>345</v>
      </c>
    </row>
    <row r="134" spans="1:22" ht="15.6">
      <c r="A134" s="90" t="s">
        <v>139</v>
      </c>
      <c r="B134" s="301">
        <f>IF(B132,B85+B90+B119+C119+D119+E119+F119,0)</f>
        <v>10935.59888426376</v>
      </c>
      <c r="C134" s="153" t="s">
        <v>346</v>
      </c>
    </row>
    <row r="135" spans="1:22" ht="15.6">
      <c r="A135" s="90" t="s">
        <v>139</v>
      </c>
      <c r="B135" s="302">
        <f>IF(B132,MAX(B133:B134),B133)</f>
        <v>13942.747200000003</v>
      </c>
      <c r="C135" s="153" t="s">
        <v>347</v>
      </c>
    </row>
    <row r="136" spans="1:22" ht="15.6">
      <c r="A136" s="90" t="s">
        <v>176</v>
      </c>
      <c r="B136" s="301">
        <f>IF(B132,B93+B125+C125+D125+E125+F125,0)</f>
        <v>7419.1407592041269</v>
      </c>
      <c r="C136" s="153" t="s">
        <v>342</v>
      </c>
    </row>
    <row r="137" spans="1:22" ht="15.6">
      <c r="A137" s="90" t="s">
        <v>139</v>
      </c>
      <c r="B137" s="302">
        <f>B135-B136</f>
        <v>6523.6064407958766</v>
      </c>
      <c r="C137" s="153" t="s">
        <v>348</v>
      </c>
    </row>
    <row r="138" spans="1:22">
      <c r="A138" s="90"/>
      <c r="B138" s="303">
        <f>IF(B132,B136/B135,0)</f>
        <v>0.53211470112605397</v>
      </c>
      <c r="C138" s="153" t="s">
        <v>349</v>
      </c>
    </row>
    <row r="139" spans="1:22">
      <c r="A139" s="12"/>
      <c r="B139" s="304">
        <f>VLOOKUP(C29,B52:O59,9,FALSE)</f>
        <v>0.59432000000000007</v>
      </c>
      <c r="C139" s="277" t="s">
        <v>189</v>
      </c>
    </row>
    <row r="140" spans="1:22" ht="15.6">
      <c r="A140" s="90" t="s">
        <v>178</v>
      </c>
      <c r="B140" s="301">
        <f>IF(B132,B135/B139,D51)</f>
        <v>23460.000000000004</v>
      </c>
      <c r="C140" s="153" t="s">
        <v>181</v>
      </c>
    </row>
    <row r="141" spans="1:22" ht="15.6">
      <c r="A141" s="90" t="s">
        <v>178</v>
      </c>
      <c r="B141" s="301">
        <f>IF(B132,B137/B139,D51)</f>
        <v>10976.589111582776</v>
      </c>
      <c r="C141" s="153" t="s">
        <v>228</v>
      </c>
    </row>
    <row r="142" spans="1:22">
      <c r="A142" s="12"/>
      <c r="B142" s="301">
        <f>B140-B141</f>
        <v>12483.410888417227</v>
      </c>
      <c r="C142" s="153" t="s">
        <v>182</v>
      </c>
      <c r="V142" s="12"/>
    </row>
    <row r="143" spans="1:22">
      <c r="A143" s="12"/>
      <c r="B143" s="305">
        <f>VLOOKUP(C29,$B$52:$P$59,14,FALSE)</f>
        <v>1</v>
      </c>
      <c r="C143" s="277" t="s">
        <v>225</v>
      </c>
    </row>
    <row r="144" spans="1:22" ht="15.6">
      <c r="A144" s="90" t="s">
        <v>191</v>
      </c>
      <c r="B144" s="301">
        <f>B143*B140</f>
        <v>23460.000000000004</v>
      </c>
      <c r="C144" s="153" t="s">
        <v>240</v>
      </c>
    </row>
    <row r="145" spans="1:30" ht="15.6">
      <c r="A145" s="90" t="s">
        <v>191</v>
      </c>
      <c r="B145" s="301">
        <f>B141*B143</f>
        <v>10976.589111582776</v>
      </c>
      <c r="C145" s="153" t="s">
        <v>241</v>
      </c>
    </row>
    <row r="146" spans="1:30" ht="15.6">
      <c r="A146" s="90" t="s">
        <v>176</v>
      </c>
      <c r="B146" s="301">
        <f>B144-B145</f>
        <v>12483.410888417227</v>
      </c>
      <c r="C146" s="153" t="s">
        <v>199</v>
      </c>
    </row>
    <row r="147" spans="1:30">
      <c r="A147" s="90"/>
      <c r="B147" s="304">
        <f>IF(B132,VLOOKUP(C29,B52:W59,22,FALSE),0)</f>
        <v>3.4100596760443307</v>
      </c>
      <c r="C147" s="277" t="s">
        <v>232</v>
      </c>
    </row>
    <row r="148" spans="1:30">
      <c r="A148" s="90"/>
      <c r="B148" s="301">
        <f>B147*B140</f>
        <v>80000.000000000015</v>
      </c>
      <c r="C148" s="153" t="s">
        <v>381</v>
      </c>
    </row>
    <row r="149" spans="1:30">
      <c r="A149" s="90"/>
      <c r="B149" s="301">
        <f>IF(OR(UNOS!K14,UNOS!K15,UNOS!K16),B147*B141,B148)</f>
        <v>37430.823909915693</v>
      </c>
      <c r="C149" s="153" t="s">
        <v>380</v>
      </c>
    </row>
    <row r="150" spans="1:30">
      <c r="A150" s="90"/>
      <c r="B150" s="301">
        <f>B148-B149</f>
        <v>42569.176090084322</v>
      </c>
      <c r="C150" s="153" t="s">
        <v>203</v>
      </c>
    </row>
    <row r="151" spans="1:30">
      <c r="A151" s="90"/>
      <c r="B151" s="304">
        <f>IF(B132,VLOOKUP(C29,B52:AB59,27,FALSE),0)</f>
        <v>0</v>
      </c>
      <c r="C151" s="277" t="s">
        <v>362</v>
      </c>
    </row>
    <row r="152" spans="1:30">
      <c r="A152" s="90"/>
      <c r="B152" s="301">
        <f>IF(B132,AC60,0)</f>
        <v>0</v>
      </c>
      <c r="C152" s="153" t="s">
        <v>382</v>
      </c>
    </row>
    <row r="153" spans="1:30">
      <c r="A153" s="90"/>
      <c r="B153" s="301">
        <f>IF(B132,AC60-AD60,0)</f>
        <v>0</v>
      </c>
      <c r="C153" s="153" t="s">
        <v>383</v>
      </c>
    </row>
    <row r="154" spans="1:30">
      <c r="A154" s="90"/>
      <c r="B154" s="301">
        <f>B152-B153</f>
        <v>0</v>
      </c>
      <c r="C154" s="153" t="s">
        <v>204</v>
      </c>
    </row>
    <row r="155" spans="1:30">
      <c r="A155" s="90"/>
      <c r="B155" s="306"/>
      <c r="C155" s="153"/>
    </row>
    <row r="156" spans="1:30" s="271" customFormat="1" ht="5.0999999999999996" customHeight="1">
      <c r="A156" s="269"/>
      <c r="B156" s="270"/>
      <c r="Q156" s="272"/>
      <c r="R156" s="272"/>
      <c r="S156" s="272"/>
      <c r="T156" s="272"/>
      <c r="U156" s="272"/>
      <c r="V156" s="272"/>
      <c r="W156" s="273"/>
      <c r="X156" s="272"/>
      <c r="Y156" s="272"/>
      <c r="AC156" s="272"/>
      <c r="AD156" s="272"/>
    </row>
    <row r="157" spans="1:30">
      <c r="A157" s="12"/>
      <c r="B157" s="207"/>
      <c r="Q157" s="267"/>
      <c r="R157" s="267"/>
      <c r="S157" s="267"/>
      <c r="T157" s="267"/>
      <c r="U157" s="267"/>
      <c r="V157" s="267"/>
      <c r="W157" s="268"/>
    </row>
    <row r="158" spans="1:30">
      <c r="A158" s="12"/>
      <c r="B158" s="21" t="s">
        <v>370</v>
      </c>
      <c r="C158" s="207"/>
      <c r="D158" s="207"/>
    </row>
    <row r="159" spans="1:30">
      <c r="A159" s="12"/>
      <c r="B159" s="207"/>
      <c r="C159" s="207"/>
      <c r="D159" s="207"/>
    </row>
    <row r="160" spans="1:30">
      <c r="A160" s="12"/>
      <c r="B160" s="279" t="b">
        <f>UNOS!K17</f>
        <v>0</v>
      </c>
      <c r="C160" s="277" t="s">
        <v>221</v>
      </c>
    </row>
    <row r="161" spans="1:30">
      <c r="A161" s="12"/>
      <c r="B161" s="304">
        <f>IF(B160,VLOOKUP($C$29,$B$52:$J$59,6,FALSE),0)</f>
        <v>0</v>
      </c>
      <c r="C161" s="277" t="s">
        <v>179</v>
      </c>
    </row>
    <row r="162" spans="1:30">
      <c r="A162" s="12"/>
      <c r="B162" s="279">
        <f>IF(B160,VLOOKUP($C$29,$B$52:$J$59,7,FALSE),0)</f>
        <v>0</v>
      </c>
      <c r="C162" s="277" t="s">
        <v>184</v>
      </c>
    </row>
    <row r="163" spans="1:30">
      <c r="A163" s="12"/>
      <c r="B163" s="304">
        <f>IF(B160,VLOOKUP($C$29,$B$52:$J$59,8,FALSE),0)</f>
        <v>0</v>
      </c>
      <c r="C163" s="277" t="s">
        <v>185</v>
      </c>
    </row>
    <row r="164" spans="1:30" ht="15.6">
      <c r="A164" s="90" t="s">
        <v>139</v>
      </c>
      <c r="B164" s="301">
        <f>IF(B160,$B$137,0)</f>
        <v>0</v>
      </c>
      <c r="C164" s="153" t="s">
        <v>350</v>
      </c>
    </row>
    <row r="165" spans="1:30">
      <c r="A165" s="12"/>
      <c r="B165" s="304">
        <f>UNOS!C132</f>
        <v>0.85</v>
      </c>
      <c r="C165" s="277" t="s">
        <v>180</v>
      </c>
    </row>
    <row r="166" spans="1:30" ht="15.6">
      <c r="A166" s="90" t="s">
        <v>176</v>
      </c>
      <c r="B166" s="301">
        <f>IF(B160,$B$137/B161/B162/B163-$B$137/B165/B162/B163,0)</f>
        <v>0</v>
      </c>
      <c r="C166" s="153" t="s">
        <v>183</v>
      </c>
    </row>
    <row r="167" spans="1:30">
      <c r="A167" s="12"/>
      <c r="B167" s="305">
        <f>IF(B160,VLOOKUP(C29,$B$52:$P$59,14,FALSE),0)</f>
        <v>0</v>
      </c>
      <c r="C167" s="277" t="s">
        <v>225</v>
      </c>
    </row>
    <row r="168" spans="1:30">
      <c r="A168" s="12"/>
      <c r="B168" s="305">
        <f>O56</f>
        <v>1</v>
      </c>
      <c r="C168" s="277" t="s">
        <v>226</v>
      </c>
    </row>
    <row r="169" spans="1:30" ht="15.6">
      <c r="A169" s="90" t="s">
        <v>176</v>
      </c>
      <c r="B169" s="301">
        <f>IF(B160,$B$137/B161/B162/B163*B167-$B$137/B165/B162/B163*B168,0)</f>
        <v>0</v>
      </c>
      <c r="C169" s="153" t="s">
        <v>199</v>
      </c>
    </row>
    <row r="170" spans="1:30">
      <c r="A170" s="90"/>
      <c r="B170" s="304">
        <f>W56</f>
        <v>859.70149253731347</v>
      </c>
      <c r="C170" s="277" t="s">
        <v>232</v>
      </c>
    </row>
    <row r="171" spans="1:30">
      <c r="A171" s="90"/>
      <c r="B171" s="301">
        <f>IF(B160,$X$60-$Y$60-$B$137/B165/B162/B163*B170,0)</f>
        <v>0</v>
      </c>
      <c r="C171" s="153" t="s">
        <v>203</v>
      </c>
    </row>
    <row r="172" spans="1:30">
      <c r="A172" s="90"/>
      <c r="B172" s="301">
        <f>IF(B160,$AC$60-$AD$60-$B$137/B165/B162/B163*B168*AB56,0)</f>
        <v>0</v>
      </c>
      <c r="C172" s="153" t="s">
        <v>204</v>
      </c>
    </row>
    <row r="173" spans="1:30">
      <c r="A173" s="12"/>
      <c r="B173" s="207"/>
    </row>
    <row r="174" spans="1:30" s="271" customFormat="1" ht="5.0999999999999996" customHeight="1">
      <c r="A174" s="269"/>
      <c r="B174" s="270"/>
      <c r="Q174" s="272"/>
      <c r="R174" s="272"/>
      <c r="S174" s="272"/>
      <c r="T174" s="272"/>
      <c r="U174" s="272"/>
      <c r="V174" s="272"/>
      <c r="W174" s="273"/>
      <c r="X174" s="272"/>
      <c r="Y174" s="272"/>
      <c r="AC174" s="272"/>
      <c r="AD174" s="272"/>
    </row>
    <row r="175" spans="1:30">
      <c r="A175" s="12"/>
      <c r="B175" s="207"/>
      <c r="Q175" s="267"/>
      <c r="R175" s="267"/>
      <c r="S175" s="267"/>
      <c r="T175" s="267"/>
      <c r="U175" s="267"/>
      <c r="V175" s="267"/>
      <c r="W175" s="268"/>
    </row>
    <row r="176" spans="1:30">
      <c r="A176" s="12"/>
      <c r="B176" s="21" t="s">
        <v>371</v>
      </c>
      <c r="C176" s="207"/>
      <c r="D176" s="207"/>
    </row>
    <row r="177" spans="1:10">
      <c r="A177" s="12"/>
      <c r="B177" s="207"/>
      <c r="C177" s="207"/>
      <c r="D177" s="207"/>
    </row>
    <row r="178" spans="1:10">
      <c r="A178" s="12"/>
      <c r="B178" s="279" t="b">
        <f>UNOS!K18</f>
        <v>1</v>
      </c>
      <c r="C178" s="277" t="s">
        <v>221</v>
      </c>
    </row>
    <row r="179" spans="1:10">
      <c r="A179" s="12"/>
      <c r="B179" s="304">
        <f>IF(B178,VLOOKUP($C$29,$B$52:$J$59,6,FALSE),0)</f>
        <v>0.68</v>
      </c>
      <c r="C179" s="277" t="s">
        <v>179</v>
      </c>
    </row>
    <row r="180" spans="1:10">
      <c r="A180" s="12"/>
      <c r="B180" s="279">
        <f>IF(B178,VLOOKUP($C$29,$B$52:$J$59,7,FALSE),0)</f>
        <v>0.95</v>
      </c>
      <c r="C180" s="277" t="s">
        <v>184</v>
      </c>
    </row>
    <row r="181" spans="1:10">
      <c r="A181" s="12"/>
      <c r="B181" s="304">
        <f>IF(B178,VLOOKUP($C$29,$B$52:$J$59,8,FALSE),0)</f>
        <v>0.92</v>
      </c>
      <c r="C181" s="277" t="s">
        <v>185</v>
      </c>
    </row>
    <row r="182" spans="1:10" ht="15.6">
      <c r="A182" s="90" t="s">
        <v>139</v>
      </c>
      <c r="B182" s="301">
        <f>IF(B178,$B$137,0)</f>
        <v>6523.6064407958766</v>
      </c>
      <c r="C182" s="153" t="s">
        <v>350</v>
      </c>
    </row>
    <row r="183" spans="1:10">
      <c r="A183" s="12"/>
      <c r="B183" s="304">
        <f>UNOS!C132</f>
        <v>0.85</v>
      </c>
      <c r="C183" s="277" t="s">
        <v>180</v>
      </c>
    </row>
    <row r="184" spans="1:10" ht="15.6">
      <c r="A184" s="90" t="s">
        <v>176</v>
      </c>
      <c r="B184" s="301">
        <f>IF(B178,$B$137/B179/B180/B181-$B$137/B183/B180/B181,0)</f>
        <v>2195.317822316556</v>
      </c>
      <c r="C184" s="153" t="s">
        <v>183</v>
      </c>
    </row>
    <row r="185" spans="1:10">
      <c r="A185" s="12"/>
      <c r="B185" s="305">
        <f>IF(B178,VLOOKUP(C29,$B$52:$P$59,14,FALSE),0)</f>
        <v>1</v>
      </c>
      <c r="C185" s="277" t="s">
        <v>190</v>
      </c>
    </row>
    <row r="186" spans="1:10">
      <c r="A186" s="12"/>
      <c r="B186" s="305">
        <f>O57</f>
        <v>1</v>
      </c>
      <c r="C186" s="277" t="s">
        <v>226</v>
      </c>
    </row>
    <row r="187" spans="1:10" ht="15.6">
      <c r="A187" s="90" t="s">
        <v>176</v>
      </c>
      <c r="B187" s="301">
        <f>IF(B178,$B$137/B179/B180/B181*B185-$B$137/B183/B180/B181*B186,0)</f>
        <v>2195.317822316556</v>
      </c>
      <c r="C187" s="153" t="s">
        <v>199</v>
      </c>
      <c r="J187" s="307"/>
    </row>
    <row r="188" spans="1:10">
      <c r="A188" s="90"/>
      <c r="B188" s="304">
        <f>W57</f>
        <v>6.4</v>
      </c>
      <c r="C188" s="277" t="s">
        <v>232</v>
      </c>
    </row>
    <row r="189" spans="1:10">
      <c r="A189" s="90"/>
      <c r="B189" s="301">
        <f>IF(B178,$X$60-$Y$60-$B$137/B183/B180/B181*B188,0)</f>
        <v>-18769.312341388133</v>
      </c>
      <c r="C189" s="153" t="s">
        <v>203</v>
      </c>
    </row>
    <row r="190" spans="1:10">
      <c r="A190" s="90"/>
      <c r="B190" s="301">
        <f>IF(B178,$AC$60-$AD$60-$B$137/B183/B180/B181*B186*AB57,0)</f>
        <v>0</v>
      </c>
      <c r="C190" s="153" t="s">
        <v>204</v>
      </c>
    </row>
    <row r="191" spans="1:10" ht="15.6">
      <c r="A191" s="90" t="s">
        <v>176</v>
      </c>
      <c r="B191" s="301">
        <f>IF(B178,IF(OR(C29=B52,C29=B57),0,B187),0)</f>
        <v>0</v>
      </c>
      <c r="C191" s="153" t="s">
        <v>385</v>
      </c>
    </row>
    <row r="192" spans="1:10">
      <c r="A192" s="12"/>
      <c r="B192" s="308"/>
      <c r="C192" s="309"/>
    </row>
    <row r="193" spans="1:30" s="271" customFormat="1" ht="5.0999999999999996" customHeight="1">
      <c r="A193" s="269"/>
      <c r="B193" s="270"/>
      <c r="Q193" s="272"/>
      <c r="R193" s="272"/>
      <c r="S193" s="272"/>
      <c r="T193" s="272"/>
      <c r="U193" s="272"/>
      <c r="V193" s="272"/>
      <c r="W193" s="273"/>
      <c r="X193" s="272"/>
      <c r="Y193" s="272"/>
      <c r="AC193" s="272"/>
      <c r="AD193" s="272"/>
    </row>
    <row r="194" spans="1:30">
      <c r="A194" s="12"/>
      <c r="B194" s="207"/>
      <c r="Q194" s="267"/>
      <c r="R194" s="267"/>
      <c r="S194" s="267"/>
      <c r="T194" s="267"/>
      <c r="U194" s="267"/>
      <c r="V194" s="267"/>
      <c r="W194" s="268"/>
    </row>
    <row r="195" spans="1:30">
      <c r="A195" s="12"/>
      <c r="B195" s="21" t="s">
        <v>372</v>
      </c>
      <c r="C195" s="207"/>
      <c r="D195" s="207"/>
    </row>
    <row r="196" spans="1:30">
      <c r="A196" s="12"/>
      <c r="B196" s="207"/>
      <c r="C196" s="207"/>
      <c r="D196" s="207"/>
      <c r="H196" s="310"/>
    </row>
    <row r="197" spans="1:30">
      <c r="A197" s="12"/>
      <c r="B197" s="279" t="b">
        <f>UNOS!K19</f>
        <v>0</v>
      </c>
      <c r="C197" s="277" t="s">
        <v>220</v>
      </c>
      <c r="H197" s="310"/>
    </row>
    <row r="198" spans="1:30">
      <c r="A198" s="12"/>
      <c r="B198" s="304">
        <f>IF(B197,VLOOKUP($C$29,$B$52:$J$59,6,FALSE),0)</f>
        <v>0</v>
      </c>
      <c r="C198" s="277" t="s">
        <v>179</v>
      </c>
      <c r="H198" s="310"/>
      <c r="I198" s="310"/>
      <c r="J198" s="310"/>
      <c r="K198" s="310"/>
    </row>
    <row r="199" spans="1:30">
      <c r="A199" s="12"/>
      <c r="B199" s="304">
        <f>IF(B197,VLOOKUP($C$29,$B$52:$J$59,7,FALSE),0)</f>
        <v>0</v>
      </c>
      <c r="C199" s="277" t="s">
        <v>184</v>
      </c>
    </row>
    <row r="200" spans="1:30">
      <c r="A200" s="12"/>
      <c r="B200" s="304">
        <f>IF(B197,VLOOKUP($C$29,$B$52:$J$59,8,FALSE),0)</f>
        <v>0</v>
      </c>
      <c r="C200" s="277" t="s">
        <v>185</v>
      </c>
    </row>
    <row r="201" spans="1:30" ht="15.6">
      <c r="A201" s="90" t="s">
        <v>139</v>
      </c>
      <c r="B201" s="301">
        <f>IF(B197,$B$137,0)</f>
        <v>0</v>
      </c>
      <c r="C201" s="153" t="s">
        <v>350</v>
      </c>
    </row>
    <row r="202" spans="1:30">
      <c r="A202" s="12"/>
      <c r="B202" s="304" t="str">
        <f>UNOS!C133</f>
        <v/>
      </c>
      <c r="C202" s="277" t="s">
        <v>231</v>
      </c>
    </row>
    <row r="203" spans="1:30" ht="15.6">
      <c r="A203" s="90" t="s">
        <v>176</v>
      </c>
      <c r="B203" s="301">
        <f>IF(B197,$B$137/B198/B199/B200-$B$137/B202/B199/B200,0)</f>
        <v>0</v>
      </c>
      <c r="C203" s="153" t="s">
        <v>491</v>
      </c>
    </row>
    <row r="204" spans="1:30">
      <c r="A204" s="12"/>
      <c r="B204" s="305">
        <f>IF(B197,VLOOKUP(C29,$B$52:$P$59,14,FALSE),0)</f>
        <v>0</v>
      </c>
      <c r="C204" s="277" t="s">
        <v>496</v>
      </c>
    </row>
    <row r="205" spans="1:30">
      <c r="A205" s="12"/>
      <c r="B205" s="305">
        <f>O58</f>
        <v>3.0150000000000001</v>
      </c>
      <c r="C205" s="277" t="s">
        <v>497</v>
      </c>
    </row>
    <row r="206" spans="1:30" ht="15.6">
      <c r="A206" s="90" t="s">
        <v>176</v>
      </c>
      <c r="B206" s="301">
        <f>IF(B197,$B$137/B198/B199/B200*B204-$B$137/B202/B199/B200*B205,0)</f>
        <v>0</v>
      </c>
      <c r="C206" s="153" t="s">
        <v>199</v>
      </c>
    </row>
    <row r="207" spans="1:30">
      <c r="A207" s="90"/>
      <c r="B207" s="304">
        <f>W58</f>
        <v>8000</v>
      </c>
      <c r="C207" s="277" t="s">
        <v>232</v>
      </c>
    </row>
    <row r="208" spans="1:30">
      <c r="A208" s="90"/>
      <c r="B208" s="301">
        <f>IF(B197,$X$60-$Y$60-$B$137/B202/B199/B200*B207,0)</f>
        <v>0</v>
      </c>
      <c r="C208" s="153" t="s">
        <v>203</v>
      </c>
    </row>
    <row r="209" spans="1:30">
      <c r="A209" s="90"/>
      <c r="B209" s="301">
        <f>IF(B197,$AC$60-$AD$60-$B$137/B202/B199/B200*B205*AB58,0)</f>
        <v>0</v>
      </c>
      <c r="C209" s="153" t="s">
        <v>204</v>
      </c>
    </row>
    <row r="210" spans="1:30">
      <c r="A210" s="12"/>
      <c r="B210" s="207"/>
    </row>
    <row r="211" spans="1:30" s="271" customFormat="1" ht="5.0999999999999996" customHeight="1">
      <c r="A211" s="269"/>
      <c r="B211" s="270"/>
      <c r="Q211" s="272"/>
      <c r="R211" s="272"/>
      <c r="S211" s="272"/>
      <c r="T211" s="272"/>
      <c r="U211" s="272"/>
      <c r="V211" s="272"/>
      <c r="W211" s="273"/>
      <c r="X211" s="272"/>
      <c r="Y211" s="272"/>
      <c r="AC211" s="272"/>
      <c r="AD211" s="272"/>
    </row>
    <row r="212" spans="1:30">
      <c r="A212" s="12"/>
      <c r="B212" s="207"/>
      <c r="Q212" s="267"/>
      <c r="R212" s="267"/>
      <c r="S212" s="267"/>
      <c r="T212" s="267"/>
      <c r="U212" s="267"/>
      <c r="V212" s="267"/>
      <c r="W212" s="268"/>
    </row>
    <row r="213" spans="1:30">
      <c r="A213" s="12"/>
      <c r="B213" s="21" t="s">
        <v>368</v>
      </c>
      <c r="C213" s="207"/>
    </row>
    <row r="214" spans="1:30">
      <c r="A214" s="12"/>
      <c r="B214" s="207"/>
      <c r="C214" s="207"/>
      <c r="D214" s="311"/>
      <c r="I214" s="253"/>
      <c r="K214" s="253"/>
    </row>
    <row r="215" spans="1:30">
      <c r="A215" s="12"/>
      <c r="B215" s="279" t="b">
        <f>UNOS!K20</f>
        <v>1</v>
      </c>
      <c r="C215" s="277" t="s">
        <v>367</v>
      </c>
      <c r="E215" s="253"/>
      <c r="K215" s="24"/>
      <c r="L215" s="24"/>
      <c r="M215" s="24"/>
    </row>
    <row r="216" spans="1:30">
      <c r="A216" s="12"/>
      <c r="B216" s="304">
        <f>IF(B215,VLOOKUP($C$29,$B$52:$J$59,6,FALSE),0)</f>
        <v>0.68</v>
      </c>
      <c r="C216" s="277" t="s">
        <v>179</v>
      </c>
      <c r="H216" s="310"/>
      <c r="I216" s="310"/>
      <c r="J216" s="310"/>
    </row>
    <row r="217" spans="1:30">
      <c r="A217" s="12"/>
      <c r="B217" s="279">
        <f>IF(B215,VLOOKUP($C$29,$B$52:$J$59,7,FALSE),0)</f>
        <v>0.95</v>
      </c>
      <c r="C217" s="277" t="s">
        <v>184</v>
      </c>
    </row>
    <row r="218" spans="1:30">
      <c r="A218" s="12"/>
      <c r="B218" s="304">
        <f>IF(B215,VLOOKUP($C$29,$B$52:$J$59,8,FALSE),0)</f>
        <v>0.92</v>
      </c>
      <c r="C218" s="277" t="s">
        <v>185</v>
      </c>
    </row>
    <row r="219" spans="1:30" ht="15.6">
      <c r="A219" s="90" t="s">
        <v>139</v>
      </c>
      <c r="B219" s="301">
        <f>IF(B215,$B$137,0)</f>
        <v>6523.6064407958766</v>
      </c>
      <c r="C219" s="153" t="s">
        <v>350</v>
      </c>
    </row>
    <row r="220" spans="1:30">
      <c r="A220" s="12"/>
      <c r="B220" s="304">
        <f>IF(B160,B165,IF(B178,B183,IF(B197,B202,0)))</f>
        <v>0.85</v>
      </c>
      <c r="C220" s="277" t="s">
        <v>374</v>
      </c>
    </row>
    <row r="221" spans="1:30">
      <c r="A221" s="12"/>
      <c r="B221" s="279">
        <f>IF(B215,0.98,B217)</f>
        <v>0.98</v>
      </c>
      <c r="C221" s="277" t="s">
        <v>186</v>
      </c>
    </row>
    <row r="222" spans="1:30">
      <c r="A222" s="12"/>
      <c r="B222" s="279">
        <f>IF(B215,M58,B218)</f>
        <v>0.95</v>
      </c>
      <c r="C222" s="277" t="s">
        <v>187</v>
      </c>
    </row>
    <row r="223" spans="1:30" ht="15.6">
      <c r="A223" s="90" t="s">
        <v>176</v>
      </c>
      <c r="B223" s="301">
        <f>IF(B215,$B$137/B220/B217/B218-$B$137/B220/B221/B222,0)</f>
        <v>537.62885444486892</v>
      </c>
      <c r="C223" s="153" t="s">
        <v>373</v>
      </c>
    </row>
    <row r="224" spans="1:30">
      <c r="A224" s="12"/>
      <c r="B224" s="305">
        <f>IF(B215,VLOOKUP(C29,$B$52:$P$59,14,FALSE),0)</f>
        <v>1</v>
      </c>
      <c r="C224" s="277" t="s">
        <v>190</v>
      </c>
    </row>
    <row r="225" spans="1:30">
      <c r="A225" s="12"/>
      <c r="B225" s="305">
        <f>IF(UNOS!K17,O56,IF(UNOS!K18,O57,IF(UNOS!K19,O58,0)))</f>
        <v>1</v>
      </c>
      <c r="C225" s="277" t="s">
        <v>226</v>
      </c>
    </row>
    <row r="226" spans="1:30" ht="15.6">
      <c r="A226" s="90" t="s">
        <v>176</v>
      </c>
      <c r="B226" s="301">
        <f>IF(B215,$B$137/B220/B217/B218*B225-$B$137/B220/B221/B222*B225,0)</f>
        <v>537.62885444486892</v>
      </c>
      <c r="C226" s="153" t="s">
        <v>199</v>
      </c>
    </row>
    <row r="227" spans="1:30">
      <c r="A227" s="90"/>
      <c r="B227" s="304">
        <f>IF(UNOS!K17,W56,IF(UNOS!K18,W57,IF(UNOS!K19,W58,0)))</f>
        <v>6.4</v>
      </c>
      <c r="C227" s="277" t="s">
        <v>232</v>
      </c>
    </row>
    <row r="228" spans="1:30">
      <c r="A228" s="90"/>
      <c r="B228" s="301">
        <f>IF(B215,X60-Y60-IF(B160,B171,IF(B178,B189,IF(B197,B208,0)))-$B$137/B220/B221/B222*B227,0)</f>
        <v>3440.8246684471596</v>
      </c>
      <c r="C228" s="153" t="s">
        <v>203</v>
      </c>
    </row>
    <row r="229" spans="1:30">
      <c r="A229" s="90"/>
      <c r="B229" s="301">
        <f>IF(B235,IF(B217,$AC$60-$AD$60-IF(B160,B172,IF(B178,B190,IF(B197,B209,0)))-$B$137/B222/B220/B221*B225*IF(B160,AB56,IF(B178,AB57,IF(B197,AB58,0))),0),0)</f>
        <v>0</v>
      </c>
      <c r="C229" s="153" t="s">
        <v>204</v>
      </c>
    </row>
    <row r="230" spans="1:30">
      <c r="A230" s="12"/>
      <c r="B230" s="308"/>
      <c r="C230" s="309"/>
    </row>
    <row r="231" spans="1:30" s="271" customFormat="1" ht="5.0999999999999996" customHeight="1">
      <c r="A231" s="269"/>
      <c r="B231" s="270"/>
      <c r="Q231" s="272"/>
      <c r="R231" s="272"/>
      <c r="S231" s="272"/>
      <c r="T231" s="272"/>
      <c r="U231" s="272"/>
      <c r="V231" s="272"/>
      <c r="W231" s="273"/>
      <c r="X231" s="272"/>
      <c r="Y231" s="272"/>
      <c r="AC231" s="272"/>
      <c r="AD231" s="272"/>
    </row>
    <row r="232" spans="1:30">
      <c r="A232" s="12"/>
      <c r="B232" s="207"/>
      <c r="Q232" s="267"/>
      <c r="R232" s="267"/>
      <c r="S232" s="267"/>
      <c r="T232" s="267"/>
      <c r="U232" s="267"/>
      <c r="V232" s="267"/>
      <c r="W232" s="268"/>
    </row>
    <row r="233" spans="1:30">
      <c r="A233" s="299" t="s">
        <v>369</v>
      </c>
      <c r="B233" s="21"/>
      <c r="C233" s="207"/>
      <c r="D233" s="207"/>
    </row>
    <row r="234" spans="1:30">
      <c r="A234" s="12"/>
      <c r="B234" s="207"/>
      <c r="C234" s="207"/>
      <c r="D234" s="207"/>
    </row>
    <row r="235" spans="1:30">
      <c r="A235" s="12"/>
      <c r="B235" s="300" t="b">
        <f>IF(OR(B160,B178,B197),TRUE,FALSE)</f>
        <v>1</v>
      </c>
      <c r="C235" s="21" t="s">
        <v>510</v>
      </c>
    </row>
    <row r="236" spans="1:30" ht="15.6">
      <c r="A236" s="90" t="s">
        <v>139</v>
      </c>
      <c r="B236" s="301">
        <f>IF(B235,B141,0)</f>
        <v>10976.589111582776</v>
      </c>
      <c r="C236" s="153" t="s">
        <v>375</v>
      </c>
    </row>
    <row r="237" spans="1:30" ht="15.6">
      <c r="A237" s="90" t="s">
        <v>176</v>
      </c>
      <c r="B237" s="301">
        <f>B166+B184+B203+B223</f>
        <v>2732.9466767614249</v>
      </c>
      <c r="C237" s="153" t="s">
        <v>182</v>
      </c>
    </row>
    <row r="238" spans="1:30" ht="15.6">
      <c r="A238" s="90" t="s">
        <v>139</v>
      </c>
      <c r="B238" s="302">
        <f>IF((B236-B237)&lt;0,"ПРОВЕРИТИ УНОС",B236-B237)</f>
        <v>8243.6424348213513</v>
      </c>
      <c r="C238" s="153" t="s">
        <v>376</v>
      </c>
    </row>
    <row r="239" spans="1:30">
      <c r="A239" s="90"/>
      <c r="B239" s="303">
        <f>IF(B235,B237/B236,0)</f>
        <v>0.2489795918367346</v>
      </c>
      <c r="C239" s="153" t="s">
        <v>494</v>
      </c>
    </row>
    <row r="240" spans="1:30" ht="15.6">
      <c r="A240" s="90" t="s">
        <v>191</v>
      </c>
      <c r="B240" s="301">
        <f>IF(B235,B145,0)</f>
        <v>10976.589111582776</v>
      </c>
      <c r="C240" s="153" t="s">
        <v>377</v>
      </c>
    </row>
    <row r="241" spans="1:30" ht="15.6">
      <c r="A241" s="90" t="s">
        <v>176</v>
      </c>
      <c r="B241" s="301">
        <f>B169+B187+B206+B226</f>
        <v>2732.9466767614249</v>
      </c>
      <c r="C241" s="153" t="s">
        <v>199</v>
      </c>
    </row>
    <row r="242" spans="1:30" ht="15.6">
      <c r="A242" s="90" t="s">
        <v>191</v>
      </c>
      <c r="B242" s="301">
        <f>IF(B235,B240-B241,0)</f>
        <v>8243.6424348213513</v>
      </c>
      <c r="C242" s="153" t="s">
        <v>378</v>
      </c>
    </row>
    <row r="243" spans="1:30">
      <c r="A243" s="90"/>
      <c r="B243" s="301">
        <f>IF(B235,X60-Y60,0)</f>
        <v>37430.823909915693</v>
      </c>
      <c r="C243" s="153" t="s">
        <v>495</v>
      </c>
    </row>
    <row r="244" spans="1:30">
      <c r="A244" s="90"/>
      <c r="B244" s="301">
        <f>B171+B189+B208+B228</f>
        <v>-15328.487672940973</v>
      </c>
      <c r="C244" s="153" t="s">
        <v>203</v>
      </c>
    </row>
    <row r="245" spans="1:30">
      <c r="A245" s="90"/>
      <c r="B245" s="301">
        <f>IF(B235,B243-B244,0)</f>
        <v>52759.311582856666</v>
      </c>
      <c r="C245" s="153" t="s">
        <v>379</v>
      </c>
    </row>
    <row r="246" spans="1:30">
      <c r="A246" s="90"/>
      <c r="B246" s="301">
        <f>IF(B235,AC60-AD60,0)</f>
        <v>0</v>
      </c>
      <c r="C246" s="153" t="s">
        <v>229</v>
      </c>
    </row>
    <row r="247" spans="1:30">
      <c r="A247" s="90"/>
      <c r="B247" s="301">
        <f>IF(B235,B172+B190+B209+B229,0)</f>
        <v>0</v>
      </c>
      <c r="C247" s="153" t="s">
        <v>204</v>
      </c>
    </row>
    <row r="248" spans="1:30">
      <c r="A248" s="90"/>
      <c r="B248" s="301">
        <f>IF(B235,B246-B247,0)</f>
        <v>0</v>
      </c>
      <c r="C248" s="153" t="s">
        <v>230</v>
      </c>
    </row>
    <row r="249" spans="1:30">
      <c r="A249" s="12"/>
      <c r="B249" s="301" t="str">
        <f>IF(B160,"Котао на гас",IF(B178,"Котао на биомасу",IF(B197,"Топлотна пумпа","")))</f>
        <v>Котао на биомасу</v>
      </c>
      <c r="C249" s="153" t="s">
        <v>518</v>
      </c>
    </row>
    <row r="250" spans="1:30" s="271" customFormat="1" ht="5.0999999999999996" customHeight="1">
      <c r="A250" s="269"/>
      <c r="B250" s="270"/>
      <c r="Q250" s="272"/>
      <c r="R250" s="272"/>
      <c r="S250" s="272"/>
      <c r="T250" s="272"/>
      <c r="U250" s="272"/>
      <c r="V250" s="272"/>
      <c r="W250" s="273"/>
      <c r="X250" s="272"/>
      <c r="Y250" s="272"/>
      <c r="AC250" s="272"/>
      <c r="AD250" s="272"/>
    </row>
    <row r="251" spans="1:30">
      <c r="A251" s="12"/>
      <c r="B251" s="207"/>
      <c r="Q251" s="267"/>
      <c r="R251" s="267"/>
      <c r="S251" s="267"/>
      <c r="T251" s="267"/>
      <c r="U251" s="267"/>
      <c r="V251" s="267"/>
      <c r="W251" s="268"/>
    </row>
    <row r="252" spans="1:30">
      <c r="A252" s="12"/>
      <c r="B252" s="21" t="s">
        <v>206</v>
      </c>
      <c r="C252" s="207"/>
      <c r="Q252" s="267"/>
      <c r="R252" s="267"/>
      <c r="S252" s="267"/>
      <c r="T252" s="267"/>
      <c r="U252" s="267"/>
      <c r="V252" s="267"/>
      <c r="W252" s="268"/>
    </row>
    <row r="253" spans="1:30">
      <c r="A253" s="12"/>
      <c r="B253" s="21"/>
      <c r="C253" s="207"/>
      <c r="Q253" s="267"/>
      <c r="R253" s="267"/>
      <c r="S253" s="267"/>
      <c r="T253" s="267"/>
      <c r="U253" s="267"/>
      <c r="V253" s="267"/>
      <c r="W253" s="268"/>
    </row>
    <row r="254" spans="1:30">
      <c r="A254" s="12"/>
      <c r="B254" s="279" t="str">
        <f>IF(UNOS!K21=TRUE,"ДА","НЕ")</f>
        <v>НЕ</v>
      </c>
      <c r="C254" s="277" t="s">
        <v>217</v>
      </c>
      <c r="D254" s="207"/>
    </row>
    <row r="255" spans="1:30">
      <c r="A255" s="12"/>
      <c r="B255" s="279" t="str">
        <f>IF(UNOS!L163=1,UNOS!C163,IF(UNOS!L164=1,UNOS!C164,IF(UNOS!L165=1,UNOS!C165,IF(UNOS!L166=1,UNOS!C166,IF(UNOS!L167=1,UNOS!C167,IF(UNOS!L168=1,UNOS!C168,UNOS!C169))))))</f>
        <v>даљинско грејање</v>
      </c>
      <c r="C255" s="277" t="s">
        <v>210</v>
      </c>
      <c r="J255" s="12"/>
    </row>
    <row r="256" spans="1:30">
      <c r="A256" s="12"/>
      <c r="B256" s="312">
        <f>UNOS!D28</f>
        <v>0</v>
      </c>
      <c r="C256" s="277" t="s">
        <v>207</v>
      </c>
    </row>
    <row r="257" spans="1:30">
      <c r="A257" s="12"/>
      <c r="B257" s="313">
        <v>30</v>
      </c>
      <c r="C257" s="277" t="s">
        <v>212</v>
      </c>
    </row>
    <row r="258" spans="1:30" ht="15" thickBot="1">
      <c r="A258" s="12"/>
      <c r="B258" s="313">
        <v>35</v>
      </c>
      <c r="C258" s="277" t="s">
        <v>213</v>
      </c>
      <c r="D258" s="207"/>
    </row>
    <row r="259" spans="1:30" ht="15" thickBot="1">
      <c r="A259" s="90"/>
      <c r="B259" s="313">
        <v>10</v>
      </c>
      <c r="C259" s="277" t="s">
        <v>214</v>
      </c>
      <c r="D259" s="207"/>
      <c r="J259" s="314"/>
      <c r="K259" s="315" t="s">
        <v>466</v>
      </c>
      <c r="L259" s="222" t="s">
        <v>468</v>
      </c>
      <c r="M259" s="222" t="s">
        <v>469</v>
      </c>
      <c r="N259" s="222" t="s">
        <v>470</v>
      </c>
      <c r="O259" s="222" t="s">
        <v>471</v>
      </c>
      <c r="P259" s="222" t="s">
        <v>472</v>
      </c>
      <c r="Q259" s="222" t="s">
        <v>473</v>
      </c>
      <c r="R259" s="222" t="s">
        <v>474</v>
      </c>
      <c r="S259" s="222" t="s">
        <v>475</v>
      </c>
      <c r="T259" s="222" t="s">
        <v>476</v>
      </c>
      <c r="U259" s="222" t="s">
        <v>477</v>
      </c>
      <c r="V259" s="316" t="s">
        <v>478</v>
      </c>
      <c r="Z259" s="9" t="s">
        <v>483</v>
      </c>
    </row>
    <row r="260" spans="1:30" ht="16.8" thickBot="1">
      <c r="A260" s="90"/>
      <c r="B260" s="312">
        <f>UNOS!C177</f>
        <v>0</v>
      </c>
      <c r="C260" s="9" t="s">
        <v>215</v>
      </c>
      <c r="D260" s="207"/>
      <c r="J260" s="317" t="s">
        <v>460</v>
      </c>
      <c r="K260" s="318">
        <v>31</v>
      </c>
      <c r="L260" s="225">
        <v>28</v>
      </c>
      <c r="M260" s="225">
        <v>31</v>
      </c>
      <c r="N260" s="225">
        <v>30</v>
      </c>
      <c r="O260" s="225">
        <v>31</v>
      </c>
      <c r="P260" s="225">
        <v>30</v>
      </c>
      <c r="Q260" s="225">
        <v>31</v>
      </c>
      <c r="R260" s="225">
        <v>31</v>
      </c>
      <c r="S260" s="225">
        <v>30</v>
      </c>
      <c r="T260" s="225">
        <v>31</v>
      </c>
      <c r="U260" s="225">
        <v>30</v>
      </c>
      <c r="V260" s="169">
        <v>31</v>
      </c>
      <c r="Z260" s="319" t="s">
        <v>257</v>
      </c>
      <c r="AA260" s="320" t="s">
        <v>258</v>
      </c>
      <c r="AB260" s="320" t="s">
        <v>259</v>
      </c>
      <c r="AC260" s="321" t="s">
        <v>260</v>
      </c>
      <c r="AD260" s="322" t="s">
        <v>545</v>
      </c>
    </row>
    <row r="261" spans="1:30">
      <c r="A261" s="90"/>
      <c r="B261" s="323">
        <f>UNOS!C178</f>
        <v>0</v>
      </c>
      <c r="C261" s="9" t="s">
        <v>482</v>
      </c>
      <c r="D261" s="207"/>
      <c r="J261" s="324" t="s">
        <v>211</v>
      </c>
      <c r="K261" s="325">
        <f>K271</f>
        <v>39.247500000000002</v>
      </c>
      <c r="L261" s="325">
        <f t="shared" ref="L261:V261" si="10">L271</f>
        <v>53.765000000000001</v>
      </c>
      <c r="M261" s="325">
        <f t="shared" si="10"/>
        <v>79.032500000000013</v>
      </c>
      <c r="N261" s="325">
        <f t="shared" si="10"/>
        <v>90.267499999999998</v>
      </c>
      <c r="O261" s="325">
        <f t="shared" si="10"/>
        <v>106.325</v>
      </c>
      <c r="P261" s="325">
        <f t="shared" si="10"/>
        <v>109.07999999999998</v>
      </c>
      <c r="Q261" s="325">
        <f t="shared" si="10"/>
        <v>116.6575</v>
      </c>
      <c r="R261" s="325">
        <f t="shared" si="10"/>
        <v>109.265</v>
      </c>
      <c r="S261" s="325">
        <f t="shared" si="10"/>
        <v>91.264999999999986</v>
      </c>
      <c r="T261" s="325">
        <f t="shared" si="10"/>
        <v>73.632500000000007</v>
      </c>
      <c r="U261" s="325">
        <f t="shared" si="10"/>
        <v>41.155000000000001</v>
      </c>
      <c r="V261" s="325">
        <f t="shared" si="10"/>
        <v>31.627499999999998</v>
      </c>
      <c r="Y261" s="9">
        <v>1</v>
      </c>
      <c r="Z261" s="326">
        <v>42.75</v>
      </c>
      <c r="AA261" s="327">
        <v>64.25</v>
      </c>
      <c r="AB261" s="327">
        <v>32.57</v>
      </c>
      <c r="AC261" s="328">
        <v>17.420000000000002</v>
      </c>
      <c r="AD261" s="329">
        <f>AVERAGE(Z261:AC261)</f>
        <v>39.247500000000002</v>
      </c>
    </row>
    <row r="262" spans="1:30" ht="16.2">
      <c r="A262" s="90"/>
      <c r="B262" s="313">
        <v>750</v>
      </c>
      <c r="C262" s="277" t="s">
        <v>484</v>
      </c>
      <c r="D262" s="207"/>
      <c r="J262" s="324" t="s">
        <v>461</v>
      </c>
      <c r="K262" s="325">
        <f t="shared" ref="K262:V262" si="11">$B$256*$B$257*985*4.2*($B$258-$B$259)*K260/1000/3600</f>
        <v>0</v>
      </c>
      <c r="L262" s="247">
        <f t="shared" si="11"/>
        <v>0</v>
      </c>
      <c r="M262" s="247">
        <f t="shared" si="11"/>
        <v>0</v>
      </c>
      <c r="N262" s="247">
        <f t="shared" si="11"/>
        <v>0</v>
      </c>
      <c r="O262" s="247">
        <f t="shared" si="11"/>
        <v>0</v>
      </c>
      <c r="P262" s="247">
        <f t="shared" si="11"/>
        <v>0</v>
      </c>
      <c r="Q262" s="247">
        <f t="shared" si="11"/>
        <v>0</v>
      </c>
      <c r="R262" s="247">
        <f t="shared" si="11"/>
        <v>0</v>
      </c>
      <c r="S262" s="247">
        <f t="shared" si="11"/>
        <v>0</v>
      </c>
      <c r="T262" s="247">
        <f t="shared" si="11"/>
        <v>0</v>
      </c>
      <c r="U262" s="247">
        <f t="shared" si="11"/>
        <v>0</v>
      </c>
      <c r="V262" s="330">
        <f t="shared" si="11"/>
        <v>0</v>
      </c>
      <c r="Y262" s="9">
        <v>2</v>
      </c>
      <c r="Z262" s="331">
        <v>60.35</v>
      </c>
      <c r="AA262" s="332">
        <v>76.98</v>
      </c>
      <c r="AB262" s="332">
        <v>55.35</v>
      </c>
      <c r="AC262" s="333">
        <v>22.38</v>
      </c>
      <c r="AD262" s="334">
        <f t="shared" ref="AD262:AD272" si="12">AVERAGE(Z262:AC262)</f>
        <v>53.765000000000001</v>
      </c>
    </row>
    <row r="263" spans="1:30" ht="15" thickBot="1">
      <c r="A263" s="90"/>
      <c r="B263" s="305">
        <f>B260*B261*B262/1000</f>
        <v>0</v>
      </c>
      <c r="C263" s="277" t="s">
        <v>485</v>
      </c>
      <c r="D263" s="207"/>
      <c r="J263" s="335" t="s">
        <v>462</v>
      </c>
      <c r="K263" s="336">
        <f t="shared" ref="K263:V263" si="13">K261*$B$260*$B$261</f>
        <v>0</v>
      </c>
      <c r="L263" s="336">
        <f t="shared" si="13"/>
        <v>0</v>
      </c>
      <c r="M263" s="336">
        <f t="shared" si="13"/>
        <v>0</v>
      </c>
      <c r="N263" s="336">
        <f t="shared" si="13"/>
        <v>0</v>
      </c>
      <c r="O263" s="336">
        <f t="shared" si="13"/>
        <v>0</v>
      </c>
      <c r="P263" s="336">
        <f t="shared" si="13"/>
        <v>0</v>
      </c>
      <c r="Q263" s="336">
        <f t="shared" si="13"/>
        <v>0</v>
      </c>
      <c r="R263" s="336">
        <f t="shared" si="13"/>
        <v>0</v>
      </c>
      <c r="S263" s="336">
        <f t="shared" si="13"/>
        <v>0</v>
      </c>
      <c r="T263" s="336">
        <f t="shared" si="13"/>
        <v>0</v>
      </c>
      <c r="U263" s="336">
        <f t="shared" si="13"/>
        <v>0</v>
      </c>
      <c r="V263" s="336">
        <f t="shared" si="13"/>
        <v>0</v>
      </c>
      <c r="Y263" s="9">
        <v>3</v>
      </c>
      <c r="Z263" s="331">
        <v>103.86</v>
      </c>
      <c r="AA263" s="332">
        <v>96.43</v>
      </c>
      <c r="AB263" s="332">
        <v>79.8</v>
      </c>
      <c r="AC263" s="333">
        <v>36.04</v>
      </c>
      <c r="AD263" s="334">
        <f t="shared" si="12"/>
        <v>79.032500000000013</v>
      </c>
    </row>
    <row r="264" spans="1:30" ht="16.2" thickBot="1">
      <c r="A264" s="90" t="s">
        <v>139</v>
      </c>
      <c r="B264" s="301">
        <f>IF(UNOS!K21,SUM(K262:V262),0)</f>
        <v>0</v>
      </c>
      <c r="C264" s="153" t="s">
        <v>351</v>
      </c>
      <c r="D264" s="207"/>
      <c r="J264" s="337" t="s">
        <v>463</v>
      </c>
      <c r="K264" s="338">
        <f t="shared" ref="K264:V264" si="14">IF(K262&gt;K263,K263,K262)</f>
        <v>0</v>
      </c>
      <c r="L264" s="339">
        <f t="shared" si="14"/>
        <v>0</v>
      </c>
      <c r="M264" s="339">
        <f t="shared" si="14"/>
        <v>0</v>
      </c>
      <c r="N264" s="339">
        <f t="shared" si="14"/>
        <v>0</v>
      </c>
      <c r="O264" s="339">
        <f t="shared" si="14"/>
        <v>0</v>
      </c>
      <c r="P264" s="339">
        <f t="shared" si="14"/>
        <v>0</v>
      </c>
      <c r="Q264" s="339">
        <f t="shared" si="14"/>
        <v>0</v>
      </c>
      <c r="R264" s="339">
        <f t="shared" si="14"/>
        <v>0</v>
      </c>
      <c r="S264" s="339">
        <f t="shared" si="14"/>
        <v>0</v>
      </c>
      <c r="T264" s="339">
        <f t="shared" si="14"/>
        <v>0</v>
      </c>
      <c r="U264" s="339">
        <f t="shared" si="14"/>
        <v>0</v>
      </c>
      <c r="V264" s="340">
        <f t="shared" si="14"/>
        <v>0</v>
      </c>
      <c r="Y264" s="9">
        <v>4</v>
      </c>
      <c r="Z264" s="331">
        <v>133.65</v>
      </c>
      <c r="AA264" s="332">
        <v>86.73</v>
      </c>
      <c r="AB264" s="332">
        <v>96.05</v>
      </c>
      <c r="AC264" s="333">
        <v>44.64</v>
      </c>
      <c r="AD264" s="278">
        <f t="shared" si="12"/>
        <v>90.267499999999998</v>
      </c>
    </row>
    <row r="265" spans="1:30" ht="16.2" thickBot="1">
      <c r="A265" s="90" t="s">
        <v>139</v>
      </c>
      <c r="B265" s="301">
        <f>B264-B266</f>
        <v>0</v>
      </c>
      <c r="C265" s="153" t="s">
        <v>352</v>
      </c>
      <c r="D265" s="207"/>
      <c r="Y265" s="9">
        <v>5</v>
      </c>
      <c r="Z265" s="331">
        <v>170.43</v>
      </c>
      <c r="AA265" s="332">
        <v>86.28</v>
      </c>
      <c r="AB265" s="332">
        <v>112.9</v>
      </c>
      <c r="AC265" s="333">
        <v>55.69</v>
      </c>
      <c r="AD265" s="278">
        <f t="shared" si="12"/>
        <v>106.325</v>
      </c>
    </row>
    <row r="266" spans="1:30" ht="16.8" thickBot="1">
      <c r="A266" s="90"/>
      <c r="B266" s="301">
        <f>IF(UNOS!K21,SUM(K264:V264),0)</f>
        <v>0</v>
      </c>
      <c r="C266" s="153" t="s">
        <v>353</v>
      </c>
      <c r="D266" s="207"/>
      <c r="J266" s="341" t="s">
        <v>467</v>
      </c>
      <c r="K266" s="560" t="s">
        <v>516</v>
      </c>
      <c r="L266" s="561"/>
      <c r="M266" s="561"/>
      <c r="N266" s="561"/>
      <c r="O266" s="561"/>
      <c r="P266" s="561"/>
      <c r="Q266" s="561"/>
      <c r="R266" s="561"/>
      <c r="S266" s="561"/>
      <c r="T266" s="561"/>
      <c r="U266" s="561"/>
      <c r="V266" s="562"/>
      <c r="Y266" s="9">
        <v>6</v>
      </c>
      <c r="Z266" s="331">
        <v>181.23</v>
      </c>
      <c r="AA266" s="332">
        <v>81.430000000000007</v>
      </c>
      <c r="AB266" s="332">
        <v>116.78</v>
      </c>
      <c r="AC266" s="333">
        <v>56.88</v>
      </c>
      <c r="AD266" s="278">
        <f t="shared" si="12"/>
        <v>109.07999999999998</v>
      </c>
    </row>
    <row r="267" spans="1:30">
      <c r="A267" s="90"/>
      <c r="B267" s="305">
        <f>IF(UNOS!K21,VLOOKUP(B255,B52:J59,9,FALSE),0)</f>
        <v>0</v>
      </c>
      <c r="C267" s="153" t="s">
        <v>189</v>
      </c>
      <c r="D267" s="207"/>
      <c r="G267" s="12"/>
      <c r="H267" s="253"/>
      <c r="I267" s="253"/>
      <c r="J267" s="342" t="s">
        <v>464</v>
      </c>
      <c r="K267" s="343">
        <f>Z261</f>
        <v>42.75</v>
      </c>
      <c r="L267" s="327">
        <f>Z262</f>
        <v>60.35</v>
      </c>
      <c r="M267" s="327">
        <f>Z263</f>
        <v>103.86</v>
      </c>
      <c r="N267" s="225">
        <f>Z264</f>
        <v>133.65</v>
      </c>
      <c r="O267" s="327">
        <f>Z265</f>
        <v>170.43</v>
      </c>
      <c r="P267" s="225">
        <f>Z266</f>
        <v>181.23</v>
      </c>
      <c r="Q267" s="225">
        <f>Z267</f>
        <v>192.83</v>
      </c>
      <c r="R267" s="225">
        <f>Z268</f>
        <v>170.43</v>
      </c>
      <c r="S267" s="225">
        <f>Z269</f>
        <v>127.58</v>
      </c>
      <c r="T267" s="225">
        <f>Z270</f>
        <v>88.94</v>
      </c>
      <c r="U267" s="225">
        <f>Z271</f>
        <v>45.5</v>
      </c>
      <c r="V267" s="169">
        <f>Z272</f>
        <v>33.869999999999997</v>
      </c>
      <c r="Y267" s="9">
        <v>7</v>
      </c>
      <c r="Z267" s="331">
        <v>192.83</v>
      </c>
      <c r="AA267" s="332">
        <v>90.31</v>
      </c>
      <c r="AB267" s="332">
        <v>125.22</v>
      </c>
      <c r="AC267" s="333">
        <v>58.27</v>
      </c>
      <c r="AD267" s="278">
        <f t="shared" si="12"/>
        <v>116.6575</v>
      </c>
    </row>
    <row r="268" spans="1:30" ht="15.6">
      <c r="A268" s="90" t="s">
        <v>208</v>
      </c>
      <c r="B268" s="301">
        <f>IF(UNOS!K21,B264/B267,0)</f>
        <v>0</v>
      </c>
      <c r="C268" s="153" t="s">
        <v>209</v>
      </c>
      <c r="D268" s="207"/>
      <c r="G268" s="12"/>
      <c r="H268" s="253"/>
      <c r="I268" s="253"/>
      <c r="J268" s="344" t="s">
        <v>299</v>
      </c>
      <c r="K268" s="345">
        <f>AA261</f>
        <v>64.25</v>
      </c>
      <c r="L268" s="332">
        <f>AA262</f>
        <v>76.98</v>
      </c>
      <c r="M268" s="332">
        <f>AA263</f>
        <v>96.43</v>
      </c>
      <c r="N268" s="332">
        <f>AA264</f>
        <v>86.73</v>
      </c>
      <c r="O268" s="332">
        <f>AA265</f>
        <v>86.28</v>
      </c>
      <c r="P268" s="332">
        <f>AA266</f>
        <v>81.430000000000007</v>
      </c>
      <c r="Q268" s="332">
        <f>AA267</f>
        <v>90.31</v>
      </c>
      <c r="R268" s="332">
        <f>AA268</f>
        <v>99.43</v>
      </c>
      <c r="S268" s="332">
        <f>AA269</f>
        <v>107.38</v>
      </c>
      <c r="T268" s="332">
        <f>AA270</f>
        <v>109.22</v>
      </c>
      <c r="U268" s="332">
        <f>AA271</f>
        <v>66.52</v>
      </c>
      <c r="V268" s="333">
        <f>AA272</f>
        <v>52.8</v>
      </c>
      <c r="Y268" s="9">
        <v>8</v>
      </c>
      <c r="Z268" s="331">
        <v>170.43</v>
      </c>
      <c r="AA268" s="332">
        <v>99.43</v>
      </c>
      <c r="AB268" s="332">
        <v>114.37</v>
      </c>
      <c r="AC268" s="333">
        <v>52.83</v>
      </c>
      <c r="AD268" s="278">
        <f t="shared" si="12"/>
        <v>109.265</v>
      </c>
    </row>
    <row r="269" spans="1:30" ht="15.6">
      <c r="A269" s="90" t="s">
        <v>208</v>
      </c>
      <c r="B269" s="301">
        <f>IF(UNOS!K21,B265/B267,0)</f>
        <v>0</v>
      </c>
      <c r="C269" s="153" t="s">
        <v>237</v>
      </c>
      <c r="D269" s="207"/>
      <c r="G269" s="12"/>
      <c r="H269" s="253"/>
      <c r="I269" s="253"/>
      <c r="J269" s="344" t="s">
        <v>300</v>
      </c>
      <c r="K269" s="345">
        <f>AB261</f>
        <v>32.57</v>
      </c>
      <c r="L269" s="332">
        <f>AB262</f>
        <v>55.35</v>
      </c>
      <c r="M269" s="332">
        <f>AB263</f>
        <v>79.8</v>
      </c>
      <c r="N269" s="332">
        <f>AB264</f>
        <v>96.05</v>
      </c>
      <c r="O269" s="332">
        <f>AB265</f>
        <v>112.9</v>
      </c>
      <c r="P269" s="332">
        <f>AB266</f>
        <v>116.78</v>
      </c>
      <c r="Q269" s="332">
        <f>AB267</f>
        <v>125.22</v>
      </c>
      <c r="R269" s="332">
        <f>AB268</f>
        <v>114.37</v>
      </c>
      <c r="S269" s="332">
        <f>AB269</f>
        <v>91.32</v>
      </c>
      <c r="T269" s="125">
        <f>AB270</f>
        <v>67.209999999999994</v>
      </c>
      <c r="U269" s="125">
        <f>AB271</f>
        <v>34.67</v>
      </c>
      <c r="V269" s="178">
        <f>AB272</f>
        <v>25.53</v>
      </c>
      <c r="Y269" s="9">
        <v>9</v>
      </c>
      <c r="Z269" s="331">
        <v>127.58</v>
      </c>
      <c r="AA269" s="332">
        <v>107.38</v>
      </c>
      <c r="AB269" s="332">
        <v>91.32</v>
      </c>
      <c r="AC269" s="333">
        <v>38.78</v>
      </c>
      <c r="AD269" s="278">
        <f t="shared" si="12"/>
        <v>91.264999999999986</v>
      </c>
    </row>
    <row r="270" spans="1:30" ht="15" thickBot="1">
      <c r="A270" s="90"/>
      <c r="B270" s="301">
        <f>B268-B269</f>
        <v>0</v>
      </c>
      <c r="C270" s="153" t="s">
        <v>216</v>
      </c>
      <c r="D270" s="207"/>
      <c r="G270" s="12"/>
      <c r="H270" s="253"/>
      <c r="I270" s="253"/>
      <c r="J270" s="346" t="s">
        <v>301</v>
      </c>
      <c r="K270" s="347">
        <f>AC261</f>
        <v>17.420000000000002</v>
      </c>
      <c r="L270" s="348">
        <f>AC262</f>
        <v>22.38</v>
      </c>
      <c r="M270" s="348">
        <f>AC263</f>
        <v>36.04</v>
      </c>
      <c r="N270" s="348">
        <f>AC264</f>
        <v>44.64</v>
      </c>
      <c r="O270" s="348">
        <f>AC265</f>
        <v>55.69</v>
      </c>
      <c r="P270" s="348">
        <f>AC266</f>
        <v>56.88</v>
      </c>
      <c r="Q270" s="348">
        <f>AC267</f>
        <v>58.27</v>
      </c>
      <c r="R270" s="348">
        <f>AC268</f>
        <v>52.83</v>
      </c>
      <c r="S270" s="348">
        <f>AC269</f>
        <v>38.78</v>
      </c>
      <c r="T270" s="349">
        <f>AC270</f>
        <v>29.16</v>
      </c>
      <c r="U270" s="349">
        <f>AC271</f>
        <v>17.93</v>
      </c>
      <c r="V270" s="350">
        <f>AC272</f>
        <v>14.31</v>
      </c>
      <c r="Y270" s="9">
        <v>10</v>
      </c>
      <c r="Z270" s="331">
        <v>88.94</v>
      </c>
      <c r="AA270" s="332">
        <v>109.22</v>
      </c>
      <c r="AB270" s="332">
        <v>67.209999999999994</v>
      </c>
      <c r="AC270" s="333">
        <v>29.16</v>
      </c>
      <c r="AD270" s="278">
        <f t="shared" si="12"/>
        <v>73.632500000000007</v>
      </c>
    </row>
    <row r="271" spans="1:30" ht="15" thickBot="1">
      <c r="A271" s="12"/>
      <c r="B271" s="305">
        <f>IF(UNOS!K21,VLOOKUP(B255,$B$52:$P$59,14,FALSE),0)</f>
        <v>0</v>
      </c>
      <c r="C271" s="277" t="s">
        <v>190</v>
      </c>
      <c r="J271" s="351" t="s">
        <v>465</v>
      </c>
      <c r="K271" s="352">
        <f>AVERAGE(K267:K270)</f>
        <v>39.247500000000002</v>
      </c>
      <c r="L271" s="353">
        <f t="shared" ref="L271:V271" si="15">AVERAGE(L267:L270)</f>
        <v>53.765000000000001</v>
      </c>
      <c r="M271" s="353">
        <f t="shared" si="15"/>
        <v>79.032500000000013</v>
      </c>
      <c r="N271" s="353">
        <f t="shared" si="15"/>
        <v>90.267499999999998</v>
      </c>
      <c r="O271" s="353">
        <f t="shared" si="15"/>
        <v>106.325</v>
      </c>
      <c r="P271" s="353">
        <f t="shared" si="15"/>
        <v>109.07999999999998</v>
      </c>
      <c r="Q271" s="353">
        <f t="shared" si="15"/>
        <v>116.6575</v>
      </c>
      <c r="R271" s="353">
        <f t="shared" si="15"/>
        <v>109.265</v>
      </c>
      <c r="S271" s="353">
        <f t="shared" si="15"/>
        <v>91.264999999999986</v>
      </c>
      <c r="T271" s="353">
        <f t="shared" si="15"/>
        <v>73.632500000000007</v>
      </c>
      <c r="U271" s="353">
        <f t="shared" si="15"/>
        <v>41.155000000000001</v>
      </c>
      <c r="V271" s="354">
        <f t="shared" si="15"/>
        <v>31.627499999999998</v>
      </c>
      <c r="Y271" s="9">
        <v>11</v>
      </c>
      <c r="Z271" s="331">
        <v>45.5</v>
      </c>
      <c r="AA271" s="332">
        <v>66.52</v>
      </c>
      <c r="AB271" s="332">
        <v>34.67</v>
      </c>
      <c r="AC271" s="333">
        <v>17.93</v>
      </c>
      <c r="AD271" s="278">
        <f t="shared" si="12"/>
        <v>41.155000000000001</v>
      </c>
    </row>
    <row r="272" spans="1:30" ht="16.2" thickBot="1">
      <c r="A272" s="90" t="s">
        <v>191</v>
      </c>
      <c r="B272" s="301">
        <f>B268*B271</f>
        <v>0</v>
      </c>
      <c r="C272" s="153" t="s">
        <v>234</v>
      </c>
      <c r="Y272" s="9">
        <v>12</v>
      </c>
      <c r="Z272" s="355">
        <v>33.869999999999997</v>
      </c>
      <c r="AA272" s="348">
        <v>52.8</v>
      </c>
      <c r="AB272" s="348">
        <v>25.53</v>
      </c>
      <c r="AC272" s="356">
        <v>14.31</v>
      </c>
      <c r="AD272" s="357">
        <f t="shared" si="12"/>
        <v>31.627499999999998</v>
      </c>
    </row>
    <row r="273" spans="1:30" ht="16.2" thickBot="1">
      <c r="A273" s="90" t="s">
        <v>191</v>
      </c>
      <c r="B273" s="301">
        <f>B269*B271</f>
        <v>0</v>
      </c>
      <c r="C273" s="153" t="s">
        <v>235</v>
      </c>
      <c r="Y273" s="9" t="s">
        <v>261</v>
      </c>
      <c r="Z273" s="358">
        <v>398</v>
      </c>
      <c r="AA273" s="359">
        <v>455</v>
      </c>
      <c r="AB273" s="359">
        <v>310</v>
      </c>
      <c r="AC273" s="360">
        <v>145</v>
      </c>
      <c r="AD273" s="285">
        <v>145</v>
      </c>
    </row>
    <row r="274" spans="1:30" ht="15.6">
      <c r="A274" s="90" t="s">
        <v>176</v>
      </c>
      <c r="B274" s="301">
        <f>B272-B273</f>
        <v>0</v>
      </c>
      <c r="C274" s="153" t="s">
        <v>199</v>
      </c>
    </row>
    <row r="275" spans="1:30">
      <c r="A275" s="90"/>
      <c r="B275" s="304">
        <f>IF(UNOS!K21,'ENERGETSKI KALKULATOR'!D40*VLOOKUP('ENERGETSKI KALKULATOR'!D39,UNOS!C44:I51,7,FALSE),0)</f>
        <v>0</v>
      </c>
      <c r="C275" s="277" t="s">
        <v>219</v>
      </c>
      <c r="D275" s="207"/>
    </row>
    <row r="276" spans="1:30">
      <c r="A276" s="90"/>
      <c r="B276" s="301">
        <f>B268*B275</f>
        <v>0</v>
      </c>
      <c r="C276" s="153" t="s">
        <v>218</v>
      </c>
    </row>
    <row r="277" spans="1:30">
      <c r="A277" s="90"/>
      <c r="B277" s="301">
        <f>B269*B275</f>
        <v>0</v>
      </c>
      <c r="C277" s="153" t="s">
        <v>236</v>
      </c>
    </row>
    <row r="278" spans="1:30">
      <c r="A278" s="90"/>
      <c r="B278" s="301">
        <f>B276-B277</f>
        <v>0</v>
      </c>
      <c r="C278" s="153" t="s">
        <v>203</v>
      </c>
    </row>
    <row r="279" spans="1:30">
      <c r="A279" s="12"/>
      <c r="B279" s="301">
        <f>IF(UNOS!K21,B272*VLOOKUP(B255,B52:AB59,27,FALSE),0)</f>
        <v>0</v>
      </c>
      <c r="C279" s="153" t="s">
        <v>238</v>
      </c>
      <c r="D279" s="207"/>
    </row>
    <row r="280" spans="1:30">
      <c r="A280" s="90"/>
      <c r="B280" s="301">
        <f>IF(UNOS!K21,B273*VLOOKUP(B255,B52:AB59,27,FALSE),0)</f>
        <v>0</v>
      </c>
      <c r="C280" s="153" t="s">
        <v>239</v>
      </c>
    </row>
    <row r="281" spans="1:30">
      <c r="A281" s="12"/>
      <c r="B281" s="301">
        <f>B279-B280</f>
        <v>0</v>
      </c>
      <c r="C281" s="153" t="s">
        <v>204</v>
      </c>
      <c r="D281" s="207"/>
    </row>
    <row r="282" spans="1:30" ht="15.6">
      <c r="A282" s="90" t="s">
        <v>176</v>
      </c>
      <c r="B282" s="301">
        <f>IF(OR(B255=B52,B255=B57),0,B274)</f>
        <v>0</v>
      </c>
      <c r="C282" s="153" t="s">
        <v>385</v>
      </c>
    </row>
    <row r="284" spans="1:30" s="271" customFormat="1" ht="5.0999999999999996" customHeight="1">
      <c r="A284" s="269"/>
      <c r="B284" s="270"/>
      <c r="Q284" s="272"/>
      <c r="R284" s="272"/>
      <c r="S284" s="272"/>
      <c r="T284" s="272"/>
      <c r="U284" s="272"/>
      <c r="V284" s="272"/>
      <c r="W284" s="273"/>
      <c r="X284" s="272"/>
      <c r="Y284" s="272"/>
      <c r="AC284" s="272"/>
      <c r="AD284" s="272"/>
    </row>
    <row r="285" spans="1:30">
      <c r="A285" s="12"/>
      <c r="B285" s="207"/>
      <c r="Q285" s="267"/>
      <c r="R285" s="267"/>
      <c r="S285" s="267"/>
      <c r="T285" s="267"/>
      <c r="U285" s="267"/>
      <c r="V285" s="267"/>
      <c r="W285" s="268"/>
    </row>
    <row r="286" spans="1:30">
      <c r="A286" s="12"/>
      <c r="B286" s="21" t="s">
        <v>276</v>
      </c>
      <c r="C286" s="207"/>
      <c r="Q286" s="267"/>
      <c r="R286" s="267"/>
      <c r="S286" s="267"/>
      <c r="T286" s="267"/>
      <c r="U286" s="267"/>
      <c r="V286" s="267"/>
      <c r="W286" s="268"/>
    </row>
    <row r="287" spans="1:30" ht="15" thickBot="1">
      <c r="A287" s="12"/>
      <c r="B287" s="207"/>
      <c r="D287" s="207"/>
      <c r="J287" s="361" t="s">
        <v>262</v>
      </c>
      <c r="K287" s="361"/>
      <c r="L287" s="361"/>
      <c r="M287" s="361"/>
      <c r="N287" s="361"/>
      <c r="O287" s="361"/>
      <c r="P287" s="362" t="s">
        <v>263</v>
      </c>
      <c r="Q287" s="362"/>
      <c r="R287" s="362"/>
    </row>
    <row r="288" spans="1:30" ht="14.4" customHeight="1">
      <c r="A288" s="12"/>
      <c r="B288" s="279" t="b">
        <f>IF(UNOS!K22,TRUE)</f>
        <v>0</v>
      </c>
      <c r="C288" s="277" t="s">
        <v>217</v>
      </c>
      <c r="J288" s="563" t="s">
        <v>264</v>
      </c>
      <c r="K288" s="565" t="s">
        <v>265</v>
      </c>
      <c r="L288" s="574" t="s">
        <v>266</v>
      </c>
      <c r="M288" s="363"/>
      <c r="N288" s="363"/>
      <c r="O288" s="363"/>
      <c r="P288" s="563" t="s">
        <v>264</v>
      </c>
      <c r="Q288" s="565" t="s">
        <v>265</v>
      </c>
      <c r="R288" s="574" t="s">
        <v>266</v>
      </c>
    </row>
    <row r="289" spans="1:18">
      <c r="A289" s="12"/>
      <c r="B289" s="312" t="str">
        <f xml:space="preserve">  IF(UNOS!K184,"кров", IF(UNOS!K185,"простор окућнице","ПРОВЕРА УНОСА"))</f>
        <v>ПРОВЕРА УНОСА</v>
      </c>
      <c r="C289" s="9" t="s">
        <v>287</v>
      </c>
      <c r="J289" s="564"/>
      <c r="K289" s="566"/>
      <c r="L289" s="575"/>
      <c r="M289" s="363"/>
      <c r="N289" s="363"/>
      <c r="O289" s="363"/>
      <c r="P289" s="564"/>
      <c r="Q289" s="566"/>
      <c r="R289" s="575"/>
    </row>
    <row r="290" spans="1:18">
      <c r="A290" s="12"/>
      <c r="B290" s="312"/>
      <c r="C290" s="9" t="s">
        <v>508</v>
      </c>
      <c r="J290" s="364">
        <v>1</v>
      </c>
      <c r="K290" s="365" t="s">
        <v>302</v>
      </c>
      <c r="L290" s="366">
        <v>1.175</v>
      </c>
      <c r="M290" s="363"/>
      <c r="N290" s="363"/>
      <c r="O290" s="363"/>
      <c r="P290" s="364">
        <v>1</v>
      </c>
      <c r="Q290" s="365" t="s">
        <v>302</v>
      </c>
      <c r="R290" s="366">
        <v>1.4119999999999999</v>
      </c>
    </row>
    <row r="291" spans="1:18">
      <c r="A291" s="12"/>
      <c r="B291" s="304">
        <f>UNOS!C189</f>
        <v>0</v>
      </c>
      <c r="C291" s="9" t="s">
        <v>509</v>
      </c>
      <c r="D291" s="207"/>
      <c r="J291" s="364">
        <v>2</v>
      </c>
      <c r="K291" s="365" t="s">
        <v>303</v>
      </c>
      <c r="L291" s="366">
        <v>1.179</v>
      </c>
      <c r="M291" s="363"/>
      <c r="N291" s="363"/>
      <c r="O291" s="363"/>
      <c r="P291" s="364">
        <v>2</v>
      </c>
      <c r="Q291" s="365" t="s">
        <v>303</v>
      </c>
      <c r="R291" s="366">
        <v>1.417</v>
      </c>
    </row>
    <row r="292" spans="1:18" ht="26.4">
      <c r="A292" s="90"/>
      <c r="B292" s="305">
        <f>'ENERGETSKI KALKULATOR'!I47</f>
        <v>0</v>
      </c>
      <c r="C292" s="9" t="s">
        <v>490</v>
      </c>
      <c r="D292" s="207"/>
      <c r="J292" s="364">
        <v>3</v>
      </c>
      <c r="K292" s="365" t="s">
        <v>304</v>
      </c>
      <c r="L292" s="366">
        <v>1.1779999999999999</v>
      </c>
      <c r="M292" s="363"/>
      <c r="N292" s="363"/>
      <c r="O292" s="363"/>
      <c r="P292" s="364">
        <v>3</v>
      </c>
      <c r="Q292" s="365" t="s">
        <v>304</v>
      </c>
      <c r="R292" s="366">
        <v>1.4159999999999999</v>
      </c>
    </row>
    <row r="293" spans="1:18">
      <c r="A293" s="90"/>
      <c r="B293" s="304" t="str">
        <f>UNOS!C190</f>
        <v>Шумадијска</v>
      </c>
      <c r="C293" s="277" t="s">
        <v>286</v>
      </c>
      <c r="D293" s="207"/>
      <c r="J293" s="364">
        <v>4</v>
      </c>
      <c r="K293" s="365" t="s">
        <v>305</v>
      </c>
      <c r="L293" s="366">
        <v>1.1839999999999999</v>
      </c>
      <c r="M293" s="363"/>
      <c r="N293" s="363"/>
      <c r="O293" s="363"/>
      <c r="P293" s="364">
        <v>4</v>
      </c>
      <c r="Q293" s="365" t="s">
        <v>305</v>
      </c>
      <c r="R293" s="366">
        <v>1.423</v>
      </c>
    </row>
    <row r="294" spans="1:18">
      <c r="A294" s="90" t="s">
        <v>289</v>
      </c>
      <c r="B294" s="279">
        <f>IF(B288,IF(B289="кров",VLOOKUP(B293,KALKULATOR!K290:L314,2,FALSE),VLOOKUP(B293,KALKULATOR!Q290:R314,2,FALSE)),0)</f>
        <v>0</v>
      </c>
      <c r="C294" s="277" t="s">
        <v>288</v>
      </c>
      <c r="D294" s="207"/>
      <c r="J294" s="364">
        <v>5</v>
      </c>
      <c r="K294" s="365" t="s">
        <v>306</v>
      </c>
      <c r="L294" s="366">
        <v>1.1850000000000001</v>
      </c>
      <c r="M294" s="363"/>
      <c r="N294" s="362"/>
      <c r="O294" s="362"/>
      <c r="P294" s="364">
        <v>5</v>
      </c>
      <c r="Q294" s="365" t="s">
        <v>306</v>
      </c>
      <c r="R294" s="366">
        <v>1.4239999999999999</v>
      </c>
    </row>
    <row r="295" spans="1:18" ht="15.6">
      <c r="A295" s="90" t="s">
        <v>208</v>
      </c>
      <c r="B295" s="301">
        <f>UNOS!C182</f>
        <v>0</v>
      </c>
      <c r="C295" s="153" t="s">
        <v>486</v>
      </c>
      <c r="D295" s="207"/>
      <c r="J295" s="364">
        <v>6</v>
      </c>
      <c r="K295" s="365" t="s">
        <v>307</v>
      </c>
      <c r="L295" s="366">
        <v>1.177</v>
      </c>
      <c r="M295" s="361"/>
      <c r="N295" s="361"/>
      <c r="O295" s="361"/>
      <c r="P295" s="364">
        <v>6</v>
      </c>
      <c r="Q295" s="365" t="s">
        <v>307</v>
      </c>
      <c r="R295" s="366">
        <v>1.413</v>
      </c>
    </row>
    <row r="296" spans="1:18" ht="15.6">
      <c r="A296" s="90" t="s">
        <v>208</v>
      </c>
      <c r="B296" s="301">
        <f>IF((B295-B297)&lt;0,0,B295-B297)</f>
        <v>0</v>
      </c>
      <c r="C296" s="153" t="s">
        <v>493</v>
      </c>
      <c r="D296" s="207"/>
      <c r="J296" s="364">
        <v>7</v>
      </c>
      <c r="K296" s="365" t="s">
        <v>308</v>
      </c>
      <c r="L296" s="366">
        <v>1.1870000000000001</v>
      </c>
      <c r="M296" s="363"/>
      <c r="N296" s="362"/>
      <c r="O296" s="362"/>
      <c r="P296" s="364">
        <v>7</v>
      </c>
      <c r="Q296" s="365" t="s">
        <v>308</v>
      </c>
      <c r="R296" s="366">
        <v>1.4259999999999999</v>
      </c>
    </row>
    <row r="297" spans="1:18">
      <c r="A297" s="90"/>
      <c r="B297" s="301">
        <f>IF(B294*B292*1000&gt;B295,B295,B294*B292*1000)</f>
        <v>0</v>
      </c>
      <c r="C297" s="153" t="s">
        <v>290</v>
      </c>
      <c r="D297" s="207"/>
      <c r="G297" s="12"/>
      <c r="H297" s="253"/>
      <c r="I297" s="253"/>
      <c r="J297" s="364">
        <v>8</v>
      </c>
      <c r="K297" s="365" t="s">
        <v>309</v>
      </c>
      <c r="L297" s="366">
        <v>1.169</v>
      </c>
      <c r="M297" s="363"/>
      <c r="N297" s="362"/>
      <c r="O297" s="362"/>
      <c r="P297" s="364">
        <v>8</v>
      </c>
      <c r="Q297" s="365" t="s">
        <v>309</v>
      </c>
      <c r="R297" s="366">
        <v>1.399</v>
      </c>
    </row>
    <row r="298" spans="1:18">
      <c r="A298" s="12"/>
      <c r="B298" s="305">
        <f>O58</f>
        <v>3.0150000000000001</v>
      </c>
      <c r="C298" s="277" t="s">
        <v>190</v>
      </c>
      <c r="J298" s="364">
        <v>9</v>
      </c>
      <c r="K298" s="365" t="s">
        <v>310</v>
      </c>
      <c r="L298" s="366">
        <v>1.1859999999999999</v>
      </c>
      <c r="M298" s="363"/>
      <c r="N298" s="362"/>
      <c r="O298" s="362"/>
      <c r="P298" s="364">
        <v>9</v>
      </c>
      <c r="Q298" s="365" t="s">
        <v>310</v>
      </c>
      <c r="R298" s="366">
        <v>1.4179999999999999</v>
      </c>
    </row>
    <row r="299" spans="1:18" ht="15.6">
      <c r="A299" s="90" t="s">
        <v>191</v>
      </c>
      <c r="B299" s="301">
        <f>B295*B298</f>
        <v>0</v>
      </c>
      <c r="C299" s="153" t="s">
        <v>293</v>
      </c>
      <c r="J299" s="364">
        <v>10</v>
      </c>
      <c r="K299" s="365" t="s">
        <v>311</v>
      </c>
      <c r="L299" s="366">
        <v>1.1619999999999999</v>
      </c>
      <c r="M299" s="363"/>
      <c r="N299" s="362"/>
      <c r="O299" s="362"/>
      <c r="P299" s="364">
        <v>10</v>
      </c>
      <c r="Q299" s="365" t="s">
        <v>311</v>
      </c>
      <c r="R299" s="366">
        <v>1.4159999999999999</v>
      </c>
    </row>
    <row r="300" spans="1:18" ht="15.6">
      <c r="A300" s="90" t="s">
        <v>191</v>
      </c>
      <c r="B300" s="301">
        <f>B296*B298</f>
        <v>0</v>
      </c>
      <c r="C300" s="153" t="s">
        <v>294</v>
      </c>
      <c r="J300" s="364">
        <v>11</v>
      </c>
      <c r="K300" s="365" t="s">
        <v>312</v>
      </c>
      <c r="L300" s="366">
        <v>1.1779999999999999</v>
      </c>
      <c r="M300" s="363"/>
      <c r="N300" s="362"/>
      <c r="O300" s="362"/>
      <c r="P300" s="364">
        <v>11</v>
      </c>
      <c r="Q300" s="365" t="s">
        <v>312</v>
      </c>
      <c r="R300" s="366">
        <v>1.4019999999999999</v>
      </c>
    </row>
    <row r="301" spans="1:18" ht="15.6">
      <c r="A301" s="90" t="s">
        <v>176</v>
      </c>
      <c r="B301" s="301">
        <f>B297*B298</f>
        <v>0</v>
      </c>
      <c r="C301" s="153" t="s">
        <v>199</v>
      </c>
      <c r="J301" s="364">
        <v>12</v>
      </c>
      <c r="K301" s="365" t="s">
        <v>313</v>
      </c>
      <c r="L301" s="366">
        <v>1.1830000000000001</v>
      </c>
      <c r="M301" s="362"/>
      <c r="N301" s="362"/>
      <c r="O301" s="362"/>
      <c r="P301" s="364">
        <v>12</v>
      </c>
      <c r="Q301" s="365" t="s">
        <v>313</v>
      </c>
      <c r="R301" s="366">
        <v>1.423</v>
      </c>
    </row>
    <row r="302" spans="1:18">
      <c r="A302" s="90"/>
      <c r="B302" s="312">
        <f>'ENERGETSKI KALKULATOR'!$D$48</f>
        <v>0</v>
      </c>
      <c r="C302" s="277" t="s">
        <v>291</v>
      </c>
      <c r="D302" s="207"/>
      <c r="J302" s="364">
        <v>13</v>
      </c>
      <c r="K302" s="365" t="s">
        <v>314</v>
      </c>
      <c r="L302" s="366">
        <v>1.228</v>
      </c>
      <c r="M302" s="362"/>
      <c r="N302" s="362"/>
      <c r="O302" s="362"/>
      <c r="P302" s="364">
        <v>13</v>
      </c>
      <c r="Q302" s="365" t="s">
        <v>314</v>
      </c>
      <c r="R302" s="366">
        <v>1.4590000000000001</v>
      </c>
    </row>
    <row r="303" spans="1:18">
      <c r="A303" s="90"/>
      <c r="B303" s="301">
        <f>B295*B302</f>
        <v>0</v>
      </c>
      <c r="C303" s="153" t="s">
        <v>295</v>
      </c>
      <c r="D303" s="207"/>
      <c r="J303" s="364">
        <v>14</v>
      </c>
      <c r="K303" s="365" t="s">
        <v>315</v>
      </c>
      <c r="L303" s="366">
        <v>1.1779999999999999</v>
      </c>
      <c r="M303" s="362"/>
      <c r="N303" s="362"/>
      <c r="O303" s="362"/>
      <c r="P303" s="364">
        <v>14</v>
      </c>
      <c r="Q303" s="365" t="s">
        <v>315</v>
      </c>
      <c r="R303" s="366">
        <v>1.411</v>
      </c>
    </row>
    <row r="304" spans="1:18">
      <c r="A304" s="90"/>
      <c r="B304" s="301">
        <f>B296*B302</f>
        <v>0</v>
      </c>
      <c r="C304" s="153" t="s">
        <v>296</v>
      </c>
      <c r="D304" s="207"/>
      <c r="J304" s="364">
        <v>15</v>
      </c>
      <c r="K304" s="365" t="s">
        <v>316</v>
      </c>
      <c r="L304" s="366">
        <v>1.1819999999999999</v>
      </c>
      <c r="M304" s="362"/>
      <c r="N304" s="362"/>
      <c r="O304" s="362"/>
      <c r="P304" s="364">
        <v>15</v>
      </c>
      <c r="Q304" s="365" t="s">
        <v>316</v>
      </c>
      <c r="R304" s="366">
        <v>1.415</v>
      </c>
    </row>
    <row r="305" spans="1:18">
      <c r="A305" s="90"/>
      <c r="B305" s="301">
        <f>B302*B297</f>
        <v>0</v>
      </c>
      <c r="C305" s="153" t="s">
        <v>203</v>
      </c>
      <c r="J305" s="364">
        <v>16</v>
      </c>
      <c r="K305" s="365" t="s">
        <v>317</v>
      </c>
      <c r="L305" s="366">
        <v>1.1870000000000001</v>
      </c>
      <c r="M305" s="362"/>
      <c r="N305" s="362"/>
      <c r="O305" s="362"/>
      <c r="P305" s="364">
        <v>16</v>
      </c>
      <c r="Q305" s="365" t="s">
        <v>317</v>
      </c>
      <c r="R305" s="366">
        <v>1.4259999999999999</v>
      </c>
    </row>
    <row r="306" spans="1:18">
      <c r="A306" s="90"/>
      <c r="B306" s="301">
        <f>B299*AB$55</f>
        <v>0</v>
      </c>
      <c r="C306" s="153" t="s">
        <v>297</v>
      </c>
      <c r="J306" s="364">
        <v>17</v>
      </c>
      <c r="K306" s="365" t="s">
        <v>318</v>
      </c>
      <c r="L306" s="366">
        <v>1.2270000000000001</v>
      </c>
      <c r="M306" s="362"/>
      <c r="N306" s="362"/>
      <c r="O306" s="362"/>
      <c r="P306" s="364">
        <v>17</v>
      </c>
      <c r="Q306" s="365" t="s">
        <v>318</v>
      </c>
      <c r="R306" s="366">
        <v>1.4830000000000001</v>
      </c>
    </row>
    <row r="307" spans="1:18">
      <c r="A307" s="90"/>
      <c r="B307" s="301">
        <f>B300*AB$55</f>
        <v>0</v>
      </c>
      <c r="C307" s="153" t="s">
        <v>298</v>
      </c>
      <c r="J307" s="364">
        <v>18</v>
      </c>
      <c r="K307" s="365" t="s">
        <v>86</v>
      </c>
      <c r="L307" s="366">
        <v>1.196</v>
      </c>
      <c r="M307" s="362"/>
      <c r="N307" s="362"/>
      <c r="O307" s="362"/>
      <c r="P307" s="364">
        <v>18</v>
      </c>
      <c r="Q307" s="365" t="s">
        <v>86</v>
      </c>
      <c r="R307" s="366">
        <v>1.4119999999999999</v>
      </c>
    </row>
    <row r="308" spans="1:18">
      <c r="A308" s="12"/>
      <c r="B308" s="301">
        <f>B301*AB$55</f>
        <v>0</v>
      </c>
      <c r="C308" s="153" t="s">
        <v>204</v>
      </c>
      <c r="D308" s="207"/>
      <c r="J308" s="364">
        <v>19</v>
      </c>
      <c r="K308" s="365" t="s">
        <v>319</v>
      </c>
      <c r="L308" s="366">
        <v>1.1879999999999999</v>
      </c>
      <c r="M308" s="362"/>
      <c r="N308" s="362"/>
      <c r="O308" s="362"/>
      <c r="P308" s="364">
        <v>19</v>
      </c>
      <c r="Q308" s="365" t="s">
        <v>319</v>
      </c>
      <c r="R308" s="366">
        <v>1.4079999999999999</v>
      </c>
    </row>
    <row r="309" spans="1:18" ht="15.6">
      <c r="A309" s="90" t="s">
        <v>176</v>
      </c>
      <c r="B309" s="301">
        <f>B301</f>
        <v>0</v>
      </c>
      <c r="C309" s="153" t="s">
        <v>385</v>
      </c>
      <c r="D309" s="207"/>
      <c r="J309" s="364">
        <v>20</v>
      </c>
      <c r="K309" s="365" t="s">
        <v>320</v>
      </c>
      <c r="L309" s="366">
        <v>1.224</v>
      </c>
      <c r="M309" s="362"/>
      <c r="N309" s="362"/>
      <c r="O309" s="362"/>
      <c r="P309" s="364">
        <v>20</v>
      </c>
      <c r="Q309" s="365" t="s">
        <v>320</v>
      </c>
      <c r="R309" s="366">
        <v>1.472</v>
      </c>
    </row>
    <row r="310" spans="1:18">
      <c r="J310" s="364">
        <v>21</v>
      </c>
      <c r="K310" s="365" t="s">
        <v>321</v>
      </c>
      <c r="L310" s="366">
        <v>1.2470000000000001</v>
      </c>
      <c r="M310" s="362"/>
      <c r="N310" s="362"/>
      <c r="O310" s="362"/>
      <c r="P310" s="364">
        <v>21</v>
      </c>
      <c r="Q310" s="365" t="s">
        <v>321</v>
      </c>
      <c r="R310" s="366">
        <v>1.4790000000000001</v>
      </c>
    </row>
    <row r="311" spans="1:18">
      <c r="J311" s="364">
        <v>22</v>
      </c>
      <c r="K311" s="365" t="s">
        <v>322</v>
      </c>
      <c r="L311" s="366">
        <v>1.2310000000000001</v>
      </c>
      <c r="M311" s="362"/>
      <c r="N311" s="362"/>
      <c r="O311" s="362"/>
      <c r="P311" s="364">
        <v>22</v>
      </c>
      <c r="Q311" s="365" t="s">
        <v>322</v>
      </c>
      <c r="R311" s="366">
        <v>1.4690000000000001</v>
      </c>
    </row>
    <row r="312" spans="1:18">
      <c r="J312" s="364">
        <v>23</v>
      </c>
      <c r="K312" s="365" t="s">
        <v>323</v>
      </c>
      <c r="L312" s="366">
        <v>1.22</v>
      </c>
      <c r="M312" s="362"/>
      <c r="N312" s="362"/>
      <c r="O312" s="362"/>
      <c r="P312" s="364">
        <v>23</v>
      </c>
      <c r="Q312" s="365" t="s">
        <v>323</v>
      </c>
      <c r="R312" s="366">
        <v>1.4730000000000001</v>
      </c>
    </row>
    <row r="313" spans="1:18">
      <c r="J313" s="364">
        <v>24</v>
      </c>
      <c r="K313" s="365" t="s">
        <v>324</v>
      </c>
      <c r="L313" s="366">
        <v>1.248</v>
      </c>
      <c r="M313" s="362"/>
      <c r="N313" s="362"/>
      <c r="O313" s="362"/>
      <c r="P313" s="364">
        <v>24</v>
      </c>
      <c r="Q313" s="365" t="s">
        <v>324</v>
      </c>
      <c r="R313" s="366">
        <v>1.494</v>
      </c>
    </row>
    <row r="314" spans="1:18" ht="15" thickBot="1">
      <c r="J314" s="367">
        <v>25</v>
      </c>
      <c r="K314" s="368" t="s">
        <v>325</v>
      </c>
      <c r="L314" s="369">
        <v>1.268</v>
      </c>
      <c r="M314" s="362"/>
      <c r="N314" s="362"/>
      <c r="O314" s="362"/>
      <c r="P314" s="367">
        <v>25</v>
      </c>
      <c r="Q314" s="368" t="s">
        <v>325</v>
      </c>
      <c r="R314" s="369">
        <v>1.526</v>
      </c>
    </row>
    <row r="316" spans="1:18" s="144" customFormat="1"/>
    <row r="317" spans="1:18">
      <c r="B317" s="116"/>
    </row>
    <row r="318" spans="1:18">
      <c r="B318" s="112" t="s">
        <v>113</v>
      </c>
    </row>
    <row r="319" spans="1:18">
      <c r="B319" s="370" t="s">
        <v>94</v>
      </c>
    </row>
    <row r="320" spans="1:18">
      <c r="B320" s="370" t="s">
        <v>97</v>
      </c>
    </row>
    <row r="321" spans="2:5">
      <c r="B321" s="370" t="s">
        <v>95</v>
      </c>
    </row>
    <row r="322" spans="2:5">
      <c r="B322" s="370" t="s">
        <v>96</v>
      </c>
    </row>
    <row r="323" spans="2:5">
      <c r="B323" s="370" t="s">
        <v>100</v>
      </c>
    </row>
    <row r="324" spans="2:5">
      <c r="B324" s="370" t="s">
        <v>101</v>
      </c>
      <c r="C324" s="206"/>
      <c r="D324" s="206"/>
      <c r="E324" s="206"/>
    </row>
    <row r="325" spans="2:5">
      <c r="B325" s="116"/>
    </row>
  </sheetData>
  <sheetProtection selectLockedCells="1"/>
  <mergeCells count="51">
    <mergeCell ref="T44:U44"/>
    <mergeCell ref="T41:U41"/>
    <mergeCell ref="T42:U42"/>
    <mergeCell ref="T39:U39"/>
    <mergeCell ref="AL34:AO35"/>
    <mergeCell ref="AL36:AL37"/>
    <mergeCell ref="AM36:AM37"/>
    <mergeCell ref="AN36:AN37"/>
    <mergeCell ref="AO36:AO37"/>
    <mergeCell ref="AH37:AI37"/>
    <mergeCell ref="T47:U47"/>
    <mergeCell ref="AA45:AD45"/>
    <mergeCell ref="T48:U48"/>
    <mergeCell ref="AJ34:AK35"/>
    <mergeCell ref="AJ36:AJ37"/>
    <mergeCell ref="AK36:AK37"/>
    <mergeCell ref="T40:U40"/>
    <mergeCell ref="T46:U46"/>
    <mergeCell ref="T37:U37"/>
    <mergeCell ref="T38:U38"/>
    <mergeCell ref="AA42:AD42"/>
    <mergeCell ref="T45:U45"/>
    <mergeCell ref="AA43:AD43"/>
    <mergeCell ref="AA44:AD44"/>
    <mergeCell ref="T43:U43"/>
    <mergeCell ref="L19:N19"/>
    <mergeCell ref="P36:Q36"/>
    <mergeCell ref="AA37:AD37"/>
    <mergeCell ref="N36:O36"/>
    <mergeCell ref="AA38:AD38"/>
    <mergeCell ref="G49:J49"/>
    <mergeCell ref="K49:N49"/>
    <mergeCell ref="H36:I36"/>
    <mergeCell ref="J36:K36"/>
    <mergeCell ref="L36:M36"/>
    <mergeCell ref="B108:D108"/>
    <mergeCell ref="E108:F108"/>
    <mergeCell ref="AF50:AK50"/>
    <mergeCell ref="AF56:AH56"/>
    <mergeCell ref="J288:J289"/>
    <mergeCell ref="K288:K289"/>
    <mergeCell ref="R50:S51"/>
    <mergeCell ref="Z50:AC50"/>
    <mergeCell ref="R288:R289"/>
    <mergeCell ref="K266:V266"/>
    <mergeCell ref="Q288:Q289"/>
    <mergeCell ref="L288:L289"/>
    <mergeCell ref="P288:P289"/>
    <mergeCell ref="K74:L74"/>
    <mergeCell ref="K70:L70"/>
    <mergeCell ref="O49:O51"/>
  </mergeCells>
  <pageMargins left="0.7" right="0.7" top="0.75" bottom="0.75" header="0.3" footer="0.3"/>
  <pageSetup paperSize="9" orientation="portrait" copies="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59A1-061F-4748-8A02-CC24F8365FD7}">
  <sheetPr codeName="Sheet5"/>
  <dimension ref="A1:Q19"/>
  <sheetViews>
    <sheetView zoomScale="130" zoomScaleNormal="130" workbookViewId="0">
      <selection activeCell="H6" sqref="H6"/>
    </sheetView>
  </sheetViews>
  <sheetFormatPr defaultRowHeight="18"/>
  <cols>
    <col min="1" max="1" width="11" style="468" customWidth="1"/>
    <col min="2" max="16384" width="8.88671875" style="468"/>
  </cols>
  <sheetData>
    <row r="1" spans="1:17">
      <c r="A1" s="468" t="str">
        <f>'O KALKULATORU'!A1</f>
        <v>12.11.24</v>
      </c>
      <c r="B1" s="468" t="str">
        <f>'O KALKULATORU'!B1</f>
        <v xml:space="preserve"> -верзија</v>
      </c>
      <c r="P1" s="468" t="str">
        <f>'O KALKULATORU'!P1</f>
        <v>Аутор:</v>
      </c>
      <c r="Q1" s="468" t="str">
        <f>'O KALKULATORU'!Q1</f>
        <v>Живојин Ступаревић, дипл.инш.маш.</v>
      </c>
    </row>
    <row r="3" spans="1:17">
      <c r="A3" s="468" t="s">
        <v>807</v>
      </c>
    </row>
    <row r="4" spans="1:17">
      <c r="C4" s="474" t="s">
        <v>813</v>
      </c>
      <c r="G4" s="386"/>
      <c r="H4" s="468" t="s">
        <v>965</v>
      </c>
    </row>
    <row r="5" spans="1:17">
      <c r="C5" s="474"/>
      <c r="G5" s="387"/>
      <c r="H5" s="468" t="s">
        <v>966</v>
      </c>
    </row>
    <row r="6" spans="1:17">
      <c r="C6" s="474"/>
      <c r="G6" s="556"/>
      <c r="H6" s="468" t="s">
        <v>808</v>
      </c>
    </row>
    <row r="7" spans="1:17">
      <c r="C7" s="474" t="s">
        <v>851</v>
      </c>
    </row>
    <row r="8" spans="1:17">
      <c r="C8" s="474" t="s">
        <v>852</v>
      </c>
    </row>
    <row r="9" spans="1:17">
      <c r="C9" s="474" t="s">
        <v>863</v>
      </c>
    </row>
    <row r="10" spans="1:17">
      <c r="C10" s="474" t="s">
        <v>865</v>
      </c>
    </row>
    <row r="11" spans="1:17">
      <c r="C11" s="474" t="s">
        <v>864</v>
      </c>
    </row>
    <row r="12" spans="1:17">
      <c r="C12" s="474" t="s">
        <v>853</v>
      </c>
    </row>
    <row r="13" spans="1:17">
      <c r="C13" s="474" t="s">
        <v>856</v>
      </c>
    </row>
    <row r="14" spans="1:17">
      <c r="C14" s="474" t="s">
        <v>948</v>
      </c>
    </row>
    <row r="15" spans="1:17">
      <c r="C15" s="474" t="s">
        <v>938</v>
      </c>
    </row>
    <row r="16" spans="1:17">
      <c r="C16" s="474" t="s">
        <v>939</v>
      </c>
    </row>
    <row r="17" spans="3:3">
      <c r="C17" s="474" t="s">
        <v>942</v>
      </c>
    </row>
    <row r="18" spans="3:3">
      <c r="C18" s="474" t="s">
        <v>943</v>
      </c>
    </row>
    <row r="19" spans="3:3">
      <c r="C19" s="474" t="s">
        <v>857</v>
      </c>
    </row>
  </sheetData>
  <sheetProtection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8757-FFB8-4D6F-9EA9-9EBA398AD5E7}">
  <sheetPr codeName="Sheet6"/>
  <dimension ref="A1:Q171"/>
  <sheetViews>
    <sheetView zoomScale="130" zoomScaleNormal="130" workbookViewId="0"/>
  </sheetViews>
  <sheetFormatPr defaultRowHeight="18"/>
  <cols>
    <col min="1" max="1" width="10.5546875" style="468" customWidth="1"/>
    <col min="2" max="16384" width="8.88671875" style="468"/>
  </cols>
  <sheetData>
    <row r="1" spans="1:17">
      <c r="A1" s="475" t="str">
        <f>'O KALKULATORU'!A1</f>
        <v>12.11.24</v>
      </c>
      <c r="B1" s="475" t="str">
        <f>'O KALKULATORU'!B1</f>
        <v xml:space="preserve"> -верзија</v>
      </c>
      <c r="C1" s="475"/>
      <c r="P1" s="468" t="str">
        <f>'O KALKULATORU'!P1</f>
        <v>Аутор:</v>
      </c>
      <c r="Q1" s="468" t="str">
        <f>'O KALKULATORU'!Q1</f>
        <v>Живојин Ступаревић, дипл.инш.маш.</v>
      </c>
    </row>
    <row r="2" spans="1:17">
      <c r="A2" s="475"/>
      <c r="B2" s="475"/>
      <c r="C2" s="475"/>
    </row>
    <row r="3" spans="1:17">
      <c r="A3" s="475"/>
      <c r="B3" s="475" t="s">
        <v>866</v>
      </c>
      <c r="C3" s="475"/>
      <c r="D3" s="475"/>
    </row>
    <row r="4" spans="1:17">
      <c r="A4" s="475"/>
      <c r="B4" s="480" t="s">
        <v>878</v>
      </c>
      <c r="C4" s="479" t="s">
        <v>868</v>
      </c>
      <c r="D4" s="475"/>
    </row>
    <row r="5" spans="1:17">
      <c r="A5" s="475"/>
      <c r="B5" s="480" t="s">
        <v>878</v>
      </c>
      <c r="C5" s="479" t="s">
        <v>869</v>
      </c>
      <c r="D5" s="475"/>
    </row>
    <row r="6" spans="1:17">
      <c r="A6" s="475"/>
      <c r="B6" s="480" t="s">
        <v>878</v>
      </c>
      <c r="C6" s="479" t="s">
        <v>870</v>
      </c>
      <c r="D6" s="475"/>
    </row>
    <row r="7" spans="1:17">
      <c r="A7" s="475"/>
      <c r="B7" s="480" t="s">
        <v>878</v>
      </c>
      <c r="C7" s="479" t="s">
        <v>871</v>
      </c>
      <c r="D7" s="475"/>
    </row>
    <row r="8" spans="1:17">
      <c r="A8" s="475"/>
      <c r="B8" s="480" t="s">
        <v>878</v>
      </c>
      <c r="C8" s="479" t="s">
        <v>872</v>
      </c>
      <c r="D8" s="475"/>
    </row>
    <row r="9" spans="1:17">
      <c r="A9" s="475"/>
      <c r="B9" s="480" t="s">
        <v>878</v>
      </c>
      <c r="C9" s="479" t="s">
        <v>867</v>
      </c>
      <c r="D9" s="475"/>
    </row>
    <row r="10" spans="1:17">
      <c r="A10" s="475"/>
      <c r="B10" s="475"/>
      <c r="C10" s="475"/>
    </row>
    <row r="11" spans="1:17">
      <c r="A11" s="475"/>
      <c r="B11" s="475" t="s">
        <v>904</v>
      </c>
      <c r="C11" s="475"/>
    </row>
    <row r="12" spans="1:17">
      <c r="A12" s="475"/>
      <c r="B12" s="481" t="s">
        <v>908</v>
      </c>
      <c r="C12" s="479" t="s">
        <v>905</v>
      </c>
    </row>
    <row r="13" spans="1:17">
      <c r="A13" s="475"/>
      <c r="B13" s="481" t="s">
        <v>836</v>
      </c>
      <c r="C13" s="479" t="s">
        <v>906</v>
      </c>
    </row>
    <row r="14" spans="1:17">
      <c r="A14" s="475"/>
      <c r="B14" s="481" t="s">
        <v>837</v>
      </c>
      <c r="C14" s="479" t="s">
        <v>907</v>
      </c>
    </row>
    <row r="15" spans="1:17">
      <c r="A15" s="475"/>
      <c r="B15" s="475"/>
      <c r="C15" s="475"/>
    </row>
    <row r="16" spans="1:17">
      <c r="A16" s="475"/>
      <c r="B16" s="475" t="s">
        <v>873</v>
      </c>
      <c r="C16" s="475"/>
    </row>
    <row r="17" spans="1:3">
      <c r="A17" s="475"/>
      <c r="B17" s="475">
        <v>1</v>
      </c>
      <c r="C17" s="479" t="s">
        <v>875</v>
      </c>
    </row>
    <row r="18" spans="1:3">
      <c r="A18" s="475"/>
      <c r="B18" s="475">
        <v>2</v>
      </c>
      <c r="C18" s="479" t="s">
        <v>876</v>
      </c>
    </row>
    <row r="19" spans="1:3">
      <c r="A19" s="475"/>
      <c r="B19" s="475">
        <v>3</v>
      </c>
      <c r="C19" s="479" t="s">
        <v>877</v>
      </c>
    </row>
    <row r="20" spans="1:3">
      <c r="A20" s="475"/>
      <c r="B20" s="475">
        <v>4</v>
      </c>
      <c r="C20" s="479" t="s">
        <v>874</v>
      </c>
    </row>
    <row r="21" spans="1:3">
      <c r="A21" s="475"/>
      <c r="B21" s="475"/>
      <c r="C21" s="475"/>
    </row>
    <row r="22" spans="1:3">
      <c r="A22" s="475"/>
      <c r="B22" s="479" t="s">
        <v>879</v>
      </c>
      <c r="C22" s="475"/>
    </row>
    <row r="23" spans="1:3">
      <c r="A23" s="475"/>
      <c r="B23" s="479" t="s">
        <v>880</v>
      </c>
      <c r="C23" s="475"/>
    </row>
    <row r="24" spans="1:3">
      <c r="A24" s="475"/>
      <c r="B24" s="479" t="s">
        <v>881</v>
      </c>
      <c r="C24" s="475"/>
    </row>
    <row r="25" spans="1:3">
      <c r="A25" s="475"/>
      <c r="B25" s="479" t="s">
        <v>882</v>
      </c>
      <c r="C25" s="475"/>
    </row>
    <row r="26" spans="1:3">
      <c r="A26" s="475"/>
      <c r="B26" s="479" t="s">
        <v>883</v>
      </c>
      <c r="C26" s="475"/>
    </row>
    <row r="27" spans="1:3">
      <c r="A27" s="475"/>
      <c r="B27" s="479" t="s">
        <v>884</v>
      </c>
      <c r="C27" s="475"/>
    </row>
    <row r="28" spans="1:3">
      <c r="A28" s="475"/>
      <c r="B28" s="479" t="s">
        <v>885</v>
      </c>
      <c r="C28" s="475"/>
    </row>
    <row r="29" spans="1:3">
      <c r="A29" s="475"/>
      <c r="B29" s="479" t="s">
        <v>886</v>
      </c>
      <c r="C29" s="475"/>
    </row>
    <row r="30" spans="1:3">
      <c r="A30" s="475"/>
      <c r="B30" s="479" t="s">
        <v>887</v>
      </c>
      <c r="C30" s="475"/>
    </row>
    <row r="31" spans="1:3">
      <c r="A31" s="475"/>
      <c r="B31" s="479" t="s">
        <v>888</v>
      </c>
      <c r="C31" s="475"/>
    </row>
    <row r="32" spans="1:3">
      <c r="A32" s="475"/>
      <c r="B32" s="479" t="s">
        <v>913</v>
      </c>
      <c r="C32" s="475"/>
    </row>
    <row r="33" spans="1:3">
      <c r="A33" s="475"/>
      <c r="B33" s="479"/>
      <c r="C33" s="475"/>
    </row>
    <row r="34" spans="1:3">
      <c r="A34" s="475"/>
      <c r="B34" s="479" t="s">
        <v>889</v>
      </c>
      <c r="C34" s="475"/>
    </row>
    <row r="35" spans="1:3">
      <c r="A35" s="475"/>
      <c r="B35" s="479" t="s">
        <v>890</v>
      </c>
      <c r="C35" s="475"/>
    </row>
    <row r="36" spans="1:3">
      <c r="A36" s="475"/>
      <c r="B36" s="479" t="s">
        <v>912</v>
      </c>
      <c r="C36" s="475"/>
    </row>
    <row r="37" spans="1:3">
      <c r="A37" s="475"/>
      <c r="B37" s="479"/>
      <c r="C37" s="475"/>
    </row>
    <row r="38" spans="1:3">
      <c r="A38" s="475"/>
      <c r="B38" s="479" t="s">
        <v>909</v>
      </c>
      <c r="C38" s="475"/>
    </row>
    <row r="39" spans="1:3">
      <c r="A39" s="475"/>
      <c r="B39" s="479" t="s">
        <v>910</v>
      </c>
      <c r="C39" s="475"/>
    </row>
    <row r="40" spans="1:3">
      <c r="A40" s="475"/>
      <c r="B40" s="479" t="s">
        <v>891</v>
      </c>
      <c r="C40" s="475"/>
    </row>
    <row r="41" spans="1:3">
      <c r="A41" s="475"/>
      <c r="B41" s="479" t="s">
        <v>892</v>
      </c>
      <c r="C41" s="475"/>
    </row>
    <row r="42" spans="1:3">
      <c r="A42" s="480"/>
      <c r="B42" s="480" t="s">
        <v>878</v>
      </c>
      <c r="C42" s="479" t="s">
        <v>894</v>
      </c>
    </row>
    <row r="43" spans="1:3">
      <c r="A43" s="480"/>
      <c r="B43" s="480" t="s">
        <v>878</v>
      </c>
      <c r="C43" s="479" t="s">
        <v>895</v>
      </c>
    </row>
    <row r="44" spans="1:3">
      <c r="A44" s="480"/>
      <c r="B44" s="480" t="s">
        <v>878</v>
      </c>
      <c r="C44" s="479" t="s">
        <v>896</v>
      </c>
    </row>
    <row r="45" spans="1:3">
      <c r="A45" s="480"/>
      <c r="B45" s="480" t="s">
        <v>878</v>
      </c>
      <c r="C45" s="479" t="s">
        <v>897</v>
      </c>
    </row>
    <row r="46" spans="1:3">
      <c r="A46" s="480"/>
      <c r="B46" s="480" t="s">
        <v>878</v>
      </c>
      <c r="C46" s="479" t="s">
        <v>893</v>
      </c>
    </row>
    <row r="47" spans="1:3">
      <c r="B47" s="479" t="s">
        <v>911</v>
      </c>
    </row>
    <row r="48" spans="1:3">
      <c r="B48" s="479" t="s">
        <v>898</v>
      </c>
    </row>
    <row r="49" spans="2:2">
      <c r="B49" s="479" t="s">
        <v>899</v>
      </c>
    </row>
    <row r="50" spans="2:2">
      <c r="B50" s="479" t="s">
        <v>900</v>
      </c>
    </row>
    <row r="51" spans="2:2">
      <c r="B51" s="479" t="s">
        <v>914</v>
      </c>
    </row>
    <row r="52" spans="2:2">
      <c r="B52" s="479"/>
    </row>
    <row r="53" spans="2:2">
      <c r="B53" s="479" t="s">
        <v>901</v>
      </c>
    </row>
    <row r="54" spans="2:2">
      <c r="B54" s="479" t="s">
        <v>902</v>
      </c>
    </row>
    <row r="55" spans="2:2">
      <c r="B55" s="479" t="s">
        <v>903</v>
      </c>
    </row>
    <row r="56" spans="2:2">
      <c r="B56" s="479"/>
    </row>
    <row r="57" spans="2:2">
      <c r="B57" s="479" t="s">
        <v>877</v>
      </c>
    </row>
    <row r="58" spans="2:2">
      <c r="B58" s="479" t="s">
        <v>923</v>
      </c>
    </row>
    <row r="59" spans="2:2">
      <c r="B59" s="479" t="s">
        <v>924</v>
      </c>
    </row>
    <row r="60" spans="2:2">
      <c r="B60" s="479" t="s">
        <v>925</v>
      </c>
    </row>
    <row r="61" spans="2:2">
      <c r="B61" s="479" t="s">
        <v>926</v>
      </c>
    </row>
    <row r="62" spans="2:2">
      <c r="B62" s="479" t="s">
        <v>928</v>
      </c>
    </row>
    <row r="63" spans="2:2">
      <c r="B63" s="479" t="s">
        <v>927</v>
      </c>
    </row>
    <row r="64" spans="2:2">
      <c r="B64" s="479" t="s">
        <v>929</v>
      </c>
    </row>
    <row r="65" spans="2:2">
      <c r="B65" s="479" t="s">
        <v>930</v>
      </c>
    </row>
    <row r="66" spans="2:2">
      <c r="B66" s="479"/>
    </row>
    <row r="67" spans="2:2">
      <c r="B67" s="479" t="s">
        <v>934</v>
      </c>
    </row>
    <row r="68" spans="2:2">
      <c r="B68" s="479" t="s">
        <v>931</v>
      </c>
    </row>
    <row r="69" spans="2:2">
      <c r="B69" s="479" t="s">
        <v>932</v>
      </c>
    </row>
    <row r="70" spans="2:2">
      <c r="B70" s="479" t="s">
        <v>933</v>
      </c>
    </row>
    <row r="71" spans="2:2">
      <c r="B71" s="479"/>
    </row>
    <row r="72" spans="2:2">
      <c r="B72" s="479" t="s">
        <v>765</v>
      </c>
    </row>
    <row r="73" spans="2:2">
      <c r="B73" s="479" t="s">
        <v>935</v>
      </c>
    </row>
    <row r="74" spans="2:2">
      <c r="B74" s="479" t="s">
        <v>936</v>
      </c>
    </row>
    <row r="75" spans="2:2">
      <c r="B75" s="479" t="s">
        <v>937</v>
      </c>
    </row>
    <row r="76" spans="2:2">
      <c r="B76" s="479"/>
    </row>
    <row r="77" spans="2:2">
      <c r="B77" s="479"/>
    </row>
    <row r="78" spans="2:2">
      <c r="B78" s="479"/>
    </row>
    <row r="79" spans="2:2">
      <c r="B79" s="479"/>
    </row>
    <row r="80" spans="2:2">
      <c r="B80" s="479"/>
    </row>
    <row r="81" spans="2:2">
      <c r="B81" s="479"/>
    </row>
    <row r="82" spans="2:2">
      <c r="B82" s="479"/>
    </row>
    <row r="83" spans="2:2">
      <c r="B83" s="479"/>
    </row>
    <row r="84" spans="2:2">
      <c r="B84" s="479"/>
    </row>
    <row r="85" spans="2:2">
      <c r="B85" s="479"/>
    </row>
    <row r="86" spans="2:2">
      <c r="B86" s="479"/>
    </row>
    <row r="87" spans="2:2">
      <c r="B87" s="479"/>
    </row>
    <row r="88" spans="2:2">
      <c r="B88" s="479"/>
    </row>
    <row r="89" spans="2:2">
      <c r="B89" s="479"/>
    </row>
    <row r="90" spans="2:2">
      <c r="B90" s="479"/>
    </row>
    <row r="91" spans="2:2">
      <c r="B91" s="479"/>
    </row>
    <row r="92" spans="2:2">
      <c r="B92" s="479"/>
    </row>
    <row r="93" spans="2:2">
      <c r="B93" s="479"/>
    </row>
    <row r="94" spans="2:2">
      <c r="B94" s="479"/>
    </row>
    <row r="95" spans="2:2">
      <c r="B95" s="479"/>
    </row>
    <row r="96" spans="2:2">
      <c r="B96" s="479"/>
    </row>
    <row r="97" spans="2:2">
      <c r="B97" s="479"/>
    </row>
    <row r="98" spans="2:2">
      <c r="B98" s="479"/>
    </row>
    <row r="99" spans="2:2">
      <c r="B99" s="479"/>
    </row>
    <row r="100" spans="2:2">
      <c r="B100" s="479"/>
    </row>
    <row r="101" spans="2:2">
      <c r="B101" s="479"/>
    </row>
    <row r="102" spans="2:2">
      <c r="B102" s="479"/>
    </row>
    <row r="103" spans="2:2">
      <c r="B103" s="479"/>
    </row>
    <row r="104" spans="2:2">
      <c r="B104" s="479"/>
    </row>
    <row r="105" spans="2:2">
      <c r="B105" s="479"/>
    </row>
    <row r="106" spans="2:2">
      <c r="B106" s="479"/>
    </row>
    <row r="107" spans="2:2">
      <c r="B107" s="479"/>
    </row>
    <row r="108" spans="2:2">
      <c r="B108" s="479"/>
    </row>
    <row r="109" spans="2:2">
      <c r="B109" s="479"/>
    </row>
    <row r="110" spans="2:2">
      <c r="B110" s="479"/>
    </row>
    <row r="111" spans="2:2">
      <c r="B111" s="479"/>
    </row>
    <row r="112" spans="2:2">
      <c r="B112" s="479"/>
    </row>
    <row r="113" spans="2:2">
      <c r="B113" s="479"/>
    </row>
    <row r="114" spans="2:2">
      <c r="B114" s="479"/>
    </row>
    <row r="115" spans="2:2">
      <c r="B115" s="479"/>
    </row>
    <row r="116" spans="2:2">
      <c r="B116" s="479"/>
    </row>
    <row r="117" spans="2:2">
      <c r="B117" s="479"/>
    </row>
    <row r="118" spans="2:2">
      <c r="B118" s="479"/>
    </row>
    <row r="119" spans="2:2">
      <c r="B119" s="479"/>
    </row>
    <row r="120" spans="2:2">
      <c r="B120" s="479"/>
    </row>
    <row r="121" spans="2:2">
      <c r="B121" s="479"/>
    </row>
    <row r="122" spans="2:2">
      <c r="B122" s="479"/>
    </row>
    <row r="123" spans="2:2">
      <c r="B123" s="479"/>
    </row>
    <row r="124" spans="2:2">
      <c r="B124" s="479"/>
    </row>
    <row r="125" spans="2:2">
      <c r="B125" s="479"/>
    </row>
    <row r="126" spans="2:2">
      <c r="B126" s="479"/>
    </row>
    <row r="127" spans="2:2">
      <c r="B127" s="479"/>
    </row>
    <row r="128" spans="2:2">
      <c r="B128" s="479"/>
    </row>
    <row r="129" spans="2:2">
      <c r="B129" s="479"/>
    </row>
    <row r="130" spans="2:2">
      <c r="B130" s="479"/>
    </row>
    <row r="131" spans="2:2">
      <c r="B131" s="479"/>
    </row>
    <row r="132" spans="2:2">
      <c r="B132" s="479"/>
    </row>
    <row r="133" spans="2:2">
      <c r="B133" s="479"/>
    </row>
    <row r="134" spans="2:2">
      <c r="B134" s="479"/>
    </row>
    <row r="135" spans="2:2">
      <c r="B135" s="479"/>
    </row>
    <row r="136" spans="2:2">
      <c r="B136" s="479"/>
    </row>
    <row r="137" spans="2:2">
      <c r="B137" s="479"/>
    </row>
    <row r="138" spans="2:2">
      <c r="B138" s="479"/>
    </row>
    <row r="139" spans="2:2">
      <c r="B139" s="479"/>
    </row>
    <row r="140" spans="2:2">
      <c r="B140" s="479"/>
    </row>
    <row r="141" spans="2:2">
      <c r="B141" s="479"/>
    </row>
    <row r="142" spans="2:2">
      <c r="B142" s="479"/>
    </row>
    <row r="143" spans="2:2">
      <c r="B143" s="479"/>
    </row>
    <row r="144" spans="2:2">
      <c r="B144" s="479"/>
    </row>
    <row r="145" spans="2:2">
      <c r="B145" s="479"/>
    </row>
    <row r="146" spans="2:2">
      <c r="B146" s="479"/>
    </row>
    <row r="147" spans="2:2">
      <c r="B147" s="479"/>
    </row>
    <row r="148" spans="2:2">
      <c r="B148" s="479"/>
    </row>
    <row r="149" spans="2:2">
      <c r="B149" s="479"/>
    </row>
    <row r="150" spans="2:2">
      <c r="B150" s="479"/>
    </row>
    <row r="151" spans="2:2">
      <c r="B151" s="479"/>
    </row>
    <row r="152" spans="2:2">
      <c r="B152" s="479"/>
    </row>
    <row r="153" spans="2:2">
      <c r="B153" s="479"/>
    </row>
    <row r="154" spans="2:2">
      <c r="B154" s="479"/>
    </row>
    <row r="155" spans="2:2">
      <c r="B155" s="479"/>
    </row>
    <row r="156" spans="2:2">
      <c r="B156" s="479"/>
    </row>
    <row r="157" spans="2:2">
      <c r="B157" s="479"/>
    </row>
    <row r="158" spans="2:2">
      <c r="B158" s="479"/>
    </row>
    <row r="159" spans="2:2">
      <c r="B159" s="479"/>
    </row>
    <row r="160" spans="2:2">
      <c r="B160" s="479"/>
    </row>
    <row r="161" spans="2:2">
      <c r="B161" s="479"/>
    </row>
    <row r="162" spans="2:2">
      <c r="B162" s="479"/>
    </row>
    <row r="163" spans="2:2">
      <c r="B163" s="479"/>
    </row>
    <row r="164" spans="2:2">
      <c r="B164" s="479"/>
    </row>
    <row r="165" spans="2:2">
      <c r="B165" s="479"/>
    </row>
    <row r="166" spans="2:2">
      <c r="B166" s="479"/>
    </row>
    <row r="167" spans="2:2">
      <c r="B167" s="479"/>
    </row>
    <row r="168" spans="2:2">
      <c r="B168" s="479"/>
    </row>
    <row r="169" spans="2:2">
      <c r="B169" s="479"/>
    </row>
    <row r="170" spans="2:2">
      <c r="B170" s="479"/>
    </row>
    <row r="171" spans="2:2">
      <c r="B171" s="479"/>
    </row>
  </sheetData>
  <sheetProtection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8FFF-8566-45B2-A1D1-7F3A915C768C}">
  <sheetPr codeName="Sheet7"/>
  <dimension ref="A1:Q28"/>
  <sheetViews>
    <sheetView zoomScale="130" zoomScaleNormal="130" workbookViewId="0">
      <selection activeCell="C7" sqref="C7"/>
    </sheetView>
  </sheetViews>
  <sheetFormatPr defaultRowHeight="18"/>
  <cols>
    <col min="1" max="1" width="10.33203125" style="468" customWidth="1"/>
    <col min="2" max="16384" width="8.88671875" style="468"/>
  </cols>
  <sheetData>
    <row r="1" spans="1:17">
      <c r="A1" s="489" t="s">
        <v>955</v>
      </c>
      <c r="B1" s="490" t="s">
        <v>922</v>
      </c>
      <c r="P1" s="553" t="s">
        <v>956</v>
      </c>
      <c r="Q1" s="553" t="s">
        <v>957</v>
      </c>
    </row>
    <row r="3" spans="1:17">
      <c r="A3" s="475" t="s">
        <v>834</v>
      </c>
      <c r="B3" s="475"/>
      <c r="C3" s="475"/>
    </row>
    <row r="4" spans="1:17">
      <c r="A4" s="475"/>
      <c r="B4" s="475"/>
      <c r="C4" s="476" t="s">
        <v>916</v>
      </c>
    </row>
    <row r="5" spans="1:17">
      <c r="A5" s="475"/>
      <c r="B5" s="475"/>
      <c r="C5" s="476" t="s">
        <v>917</v>
      </c>
    </row>
    <row r="6" spans="1:17">
      <c r="A6" s="475"/>
      <c r="B6" s="475"/>
      <c r="C6" s="476" t="s">
        <v>918</v>
      </c>
    </row>
    <row r="7" spans="1:17">
      <c r="A7" s="475"/>
      <c r="B7" s="475"/>
      <c r="C7" s="476" t="s">
        <v>838</v>
      </c>
    </row>
    <row r="8" spans="1:17">
      <c r="A8" s="475"/>
      <c r="B8" s="475"/>
      <c r="C8" s="476" t="s">
        <v>839</v>
      </c>
    </row>
    <row r="9" spans="1:17">
      <c r="A9" s="475"/>
      <c r="B9" s="475"/>
      <c r="C9" s="476" t="s">
        <v>967</v>
      </c>
    </row>
    <row r="10" spans="1:17">
      <c r="A10" s="475"/>
      <c r="B10" s="475"/>
      <c r="C10" s="476" t="s">
        <v>968</v>
      </c>
    </row>
    <row r="12" spans="1:17">
      <c r="A12" s="477" t="s">
        <v>840</v>
      </c>
      <c r="B12" s="477"/>
      <c r="C12" s="477"/>
    </row>
    <row r="13" spans="1:17">
      <c r="A13" s="477"/>
      <c r="B13" s="477">
        <v>1</v>
      </c>
      <c r="C13" s="478" t="s">
        <v>515</v>
      </c>
    </row>
    <row r="14" spans="1:17">
      <c r="A14" s="477"/>
      <c r="B14" s="477"/>
      <c r="C14" s="478" t="s">
        <v>841</v>
      </c>
    </row>
    <row r="15" spans="1:17">
      <c r="A15" s="477"/>
      <c r="B15" s="477"/>
      <c r="C15" s="478" t="s">
        <v>842</v>
      </c>
    </row>
    <row r="16" spans="1:17">
      <c r="A16" s="477"/>
      <c r="B16" s="477"/>
      <c r="C16" s="478" t="s">
        <v>520</v>
      </c>
    </row>
    <row r="17" spans="1:3">
      <c r="A17" s="477"/>
      <c r="B17" s="477"/>
      <c r="C17" s="478" t="s">
        <v>854</v>
      </c>
    </row>
    <row r="18" spans="1:3">
      <c r="A18" s="477"/>
      <c r="B18" s="477">
        <v>2</v>
      </c>
      <c r="C18" s="478" t="s">
        <v>835</v>
      </c>
    </row>
    <row r="19" spans="1:3">
      <c r="A19" s="477"/>
      <c r="B19" s="477">
        <v>3</v>
      </c>
      <c r="C19" s="478" t="s">
        <v>88</v>
      </c>
    </row>
    <row r="20" spans="1:3">
      <c r="A20" s="477"/>
      <c r="B20" s="477">
        <v>4</v>
      </c>
      <c r="C20" s="478" t="s">
        <v>843</v>
      </c>
    </row>
    <row r="21" spans="1:3">
      <c r="A21" s="477"/>
      <c r="B21" s="477"/>
      <c r="C21" s="478" t="s">
        <v>844</v>
      </c>
    </row>
    <row r="22" spans="1:3">
      <c r="A22" s="477"/>
      <c r="B22" s="477">
        <v>5</v>
      </c>
      <c r="C22" s="478" t="s">
        <v>845</v>
      </c>
    </row>
    <row r="23" spans="1:3">
      <c r="A23" s="477"/>
      <c r="B23" s="477"/>
      <c r="C23" s="478" t="s">
        <v>846</v>
      </c>
    </row>
    <row r="24" spans="1:3">
      <c r="A24" s="477"/>
      <c r="B24" s="477">
        <v>6</v>
      </c>
      <c r="C24" s="478" t="s">
        <v>847</v>
      </c>
    </row>
    <row r="25" spans="1:3">
      <c r="A25" s="477"/>
      <c r="B25" s="477"/>
      <c r="C25" s="478" t="s">
        <v>848</v>
      </c>
    </row>
    <row r="26" spans="1:3">
      <c r="A26" s="477"/>
      <c r="B26" s="477">
        <v>7</v>
      </c>
      <c r="C26" s="478" t="s">
        <v>855</v>
      </c>
    </row>
    <row r="27" spans="1:3">
      <c r="A27" s="477"/>
      <c r="B27" s="477"/>
      <c r="C27" s="478" t="s">
        <v>849</v>
      </c>
    </row>
    <row r="28" spans="1:3">
      <c r="A28" s="477"/>
      <c r="B28" s="477">
        <v>8</v>
      </c>
      <c r="C28" s="478" t="s">
        <v>850</v>
      </c>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D42EC-45FA-4127-A24E-267F68928F6D}">
  <sheetPr codeName="Sheet1"/>
  <dimension ref="A1:AF600"/>
  <sheetViews>
    <sheetView view="pageBreakPreview" zoomScaleNormal="100" zoomScaleSheetLayoutView="100" workbookViewId="0">
      <selection activeCell="N17" sqref="N17"/>
    </sheetView>
  </sheetViews>
  <sheetFormatPr defaultRowHeight="14.4"/>
  <cols>
    <col min="1" max="1" width="25.33203125" style="9" customWidth="1"/>
    <col min="2" max="2" width="12.109375" style="9" customWidth="1"/>
    <col min="3" max="10" width="12.6640625" style="9" customWidth="1"/>
    <col min="11" max="16" width="8.88671875" style="9"/>
    <col min="17" max="17" width="13.33203125" style="9" bestFit="1" customWidth="1"/>
    <col min="18" max="16384" width="8.88671875" style="9"/>
  </cols>
  <sheetData>
    <row r="1" spans="1:32">
      <c r="A1" s="9" t="str">
        <f>'O KALKULATORU'!A1</f>
        <v>12.11.24</v>
      </c>
      <c r="B1" s="9" t="str">
        <f>'O KALKULATORU'!B1</f>
        <v xml:space="preserve"> -верзија</v>
      </c>
      <c r="L1" s="9" t="s">
        <v>489</v>
      </c>
      <c r="P1" s="9" t="str">
        <f>'O KALKULATORU'!P1</f>
        <v>Аутор:</v>
      </c>
      <c r="Q1" s="9" t="str">
        <f>'O KALKULATORU'!Q1</f>
        <v>Живојин Ступаревић, дипл.инш.маш.</v>
      </c>
    </row>
    <row r="2" spans="1:32" ht="18" customHeight="1" thickBot="1">
      <c r="B2" s="10" t="s">
        <v>572</v>
      </c>
      <c r="L2" s="618" t="str">
        <f>CONCATENATE(K3,"-     -",K4,"-     -",K5,"-     -",K6,"-     -",M9,"-     -",M14,"-     -",M15,"-     -",M16,"-     -",M17,"-     -",M18,"-     -",M20,"-     -",M21,"-     -",M22,"-     -",M23,"-     -",M25)</f>
        <v>-     -АДРЕСА ?-     -КРАЈЊИ КОРИСНИК ?-     -ИЗВОЂАЧ ?-     --     --     --     --     --     --     --     --     --     --     -</v>
      </c>
      <c r="M2" s="618"/>
      <c r="N2" s="618"/>
      <c r="O2" s="618"/>
      <c r="P2" s="618"/>
      <c r="Q2" s="618"/>
      <c r="R2" s="618"/>
      <c r="S2" s="618"/>
      <c r="T2" s="618"/>
      <c r="U2" s="618"/>
      <c r="V2" s="618"/>
      <c r="W2" s="618"/>
      <c r="X2" s="618"/>
      <c r="Y2" s="618"/>
      <c r="Z2" s="618"/>
      <c r="AA2" s="618"/>
      <c r="AB2" s="618"/>
      <c r="AC2" s="618"/>
      <c r="AD2" s="618"/>
      <c r="AE2" s="11"/>
      <c r="AF2" s="11"/>
    </row>
    <row r="3" spans="1:32" ht="15" thickBot="1">
      <c r="B3" s="12" t="s">
        <v>414</v>
      </c>
      <c r="C3" s="13"/>
      <c r="G3" s="14" t="s">
        <v>412</v>
      </c>
      <c r="H3" s="15"/>
      <c r="I3" s="16"/>
      <c r="J3" s="16"/>
      <c r="K3" s="17" t="str">
        <f>IF(C5="","ОПШТИНА ?","")</f>
        <v/>
      </c>
      <c r="L3" s="619" t="str">
        <f>CONCATENATE(M30,"-     -",M38,"-     -",M39,"-     -",M44,"-     -",M51,"-     -",M55,"-     -",M60,"-     -",M62,"-     -",M68,"-     -",M69,"-     -",M71,"-     -",M73,"-     -",M77,"-     -",M118)</f>
        <v>-     --     --     --     --     --     --     --     --     --     --     --     --     -</v>
      </c>
      <c r="M3" s="618"/>
      <c r="N3" s="618"/>
      <c r="O3" s="618"/>
      <c r="P3" s="618"/>
      <c r="Q3" s="618"/>
      <c r="R3" s="618"/>
      <c r="S3" s="618"/>
      <c r="T3" s="618"/>
      <c r="U3" s="618"/>
      <c r="V3" s="618"/>
      <c r="W3" s="618"/>
      <c r="X3" s="618"/>
      <c r="Y3" s="618"/>
      <c r="Z3" s="618"/>
      <c r="AA3" s="618"/>
      <c r="AB3" s="618"/>
      <c r="AC3" s="618"/>
      <c r="AD3" s="618"/>
      <c r="AE3" s="11"/>
      <c r="AF3" s="11"/>
    </row>
    <row r="4" spans="1:32" ht="15" customHeight="1" thickBot="1">
      <c r="B4" s="12" t="s">
        <v>415</v>
      </c>
      <c r="C4" s="18"/>
      <c r="G4" s="14" t="s">
        <v>413</v>
      </c>
      <c r="H4" s="15"/>
      <c r="I4" s="19"/>
      <c r="J4" s="19"/>
      <c r="K4" s="17" t="str">
        <f>IF(C6="","АДРЕСА ?","")</f>
        <v>АДРЕСА ?</v>
      </c>
      <c r="L4" s="619" t="str">
        <f>CONCATENATE(M119,"-     -",M120,"-     -",M121,"-     -",P118,"-     -",P119,"-     -",P120,"-     -",P121,"-     -",M127,"-     -",M131,"-     -",M132,"-     -",M133,"-     -",M134,"-     -",M149)</f>
        <v>-     --     --     --     --     --     --     --     --     --     --     --     -ВРЕДНОСТ ИНВЕСТИЦИЈЕ ?</v>
      </c>
      <c r="M4" s="618"/>
      <c r="N4" s="618"/>
      <c r="O4" s="618"/>
      <c r="P4" s="618"/>
      <c r="Q4" s="618"/>
      <c r="R4" s="618"/>
      <c r="S4" s="618"/>
      <c r="T4" s="618"/>
      <c r="U4" s="618"/>
      <c r="V4" s="618"/>
      <c r="W4" s="618"/>
      <c r="X4" s="618"/>
      <c r="Y4" s="618"/>
      <c r="Z4" s="618"/>
      <c r="AA4" s="618"/>
      <c r="AB4" s="618"/>
      <c r="AC4" s="618"/>
      <c r="AD4" s="618"/>
      <c r="AE4" s="11"/>
      <c r="AF4" s="11"/>
    </row>
    <row r="5" spans="1:32" ht="15" thickBot="1">
      <c r="B5" s="12" t="s">
        <v>90</v>
      </c>
      <c r="C5" s="18" t="str">
        <f>'ENERGETSKI KALKULATOR'!$D$4</f>
        <v>Аранђеловац</v>
      </c>
      <c r="K5" s="17" t="str">
        <f>IF(H3="","КРАЈЊИ КОРИСНИК ?","")</f>
        <v>КРАЈЊИ КОРИСНИК ?</v>
      </c>
      <c r="L5" s="619" t="str">
        <f>CONCATENATE(M163,"-     -",M173,"-     -",M28,"-     -",M177,"-     -",M178,"-     -",M180,"-     -",M181,"-     -",M182,"-     -",M184,"-     -",M186,"-     -",M188,"-     -",M189,"-     -",M190)</f>
        <v>-     --     -БРОЈ ЧЛАНОВА ДОМАЋИНСТВА ?-     --     --     --     --     --     --     --     --     --     -</v>
      </c>
      <c r="M5" s="618"/>
      <c r="N5" s="618"/>
      <c r="O5" s="618"/>
      <c r="P5" s="618"/>
      <c r="Q5" s="618"/>
      <c r="R5" s="618"/>
      <c r="S5" s="618"/>
      <c r="T5" s="618"/>
      <c r="U5" s="618"/>
      <c r="V5" s="618"/>
      <c r="W5" s="618"/>
      <c r="X5" s="618"/>
      <c r="Y5" s="618"/>
      <c r="Z5" s="618"/>
      <c r="AA5" s="618"/>
      <c r="AB5" s="618"/>
      <c r="AC5" s="618"/>
      <c r="AD5" s="618"/>
      <c r="AE5" s="11"/>
      <c r="AF5" s="11"/>
    </row>
    <row r="6" spans="1:32" ht="15" thickBot="1">
      <c r="B6" s="12" t="s">
        <v>411</v>
      </c>
      <c r="C6" s="15"/>
      <c r="D6" s="20"/>
      <c r="K6" s="17" t="str">
        <f>IF(H4="","ИЗВОЂАЧ ?","")</f>
        <v>ИЗВОЂАЧ ?</v>
      </c>
      <c r="L6" s="11"/>
      <c r="M6" s="11"/>
      <c r="N6" s="11"/>
      <c r="O6" s="11"/>
      <c r="P6" s="11"/>
      <c r="Q6" s="11"/>
      <c r="R6" s="11"/>
      <c r="S6" s="11"/>
      <c r="T6" s="11"/>
      <c r="U6" s="11"/>
      <c r="V6" s="11"/>
      <c r="W6" s="11"/>
      <c r="X6" s="11"/>
      <c r="Y6" s="11"/>
      <c r="Z6" s="11"/>
      <c r="AA6" s="11"/>
      <c r="AB6" s="11"/>
      <c r="AC6" s="11"/>
      <c r="AD6" s="11"/>
      <c r="AE6" s="11"/>
      <c r="AF6" s="11"/>
    </row>
    <row r="7" spans="1:32">
      <c r="K7" s="11"/>
      <c r="L7" s="11"/>
      <c r="M7" s="11"/>
      <c r="N7" s="11"/>
      <c r="O7" s="11"/>
      <c r="P7" s="11"/>
      <c r="Q7" s="11"/>
      <c r="R7" s="11"/>
      <c r="S7" s="11"/>
      <c r="T7" s="11"/>
      <c r="U7" s="11"/>
      <c r="V7" s="11"/>
      <c r="W7" s="11"/>
      <c r="X7" s="11"/>
      <c r="Y7" s="11"/>
      <c r="Z7" s="11"/>
      <c r="AA7" s="11"/>
      <c r="AB7" s="11"/>
      <c r="AC7" s="11"/>
      <c r="AD7" s="11"/>
      <c r="AE7" s="11"/>
      <c r="AF7" s="11"/>
    </row>
    <row r="8" spans="1:32" ht="15" thickBot="1">
      <c r="B8" s="21" t="s">
        <v>58</v>
      </c>
      <c r="K8" s="11"/>
      <c r="L8" s="11"/>
      <c r="M8" s="11"/>
      <c r="N8" s="11"/>
      <c r="O8" s="11"/>
      <c r="P8" s="11"/>
      <c r="Q8" s="11"/>
      <c r="R8" s="11"/>
      <c r="S8" s="11"/>
      <c r="T8" s="11"/>
      <c r="U8" s="11"/>
      <c r="V8" s="11"/>
      <c r="W8" s="11"/>
      <c r="X8" s="11"/>
      <c r="Y8" s="11"/>
      <c r="Z8" s="11"/>
      <c r="AA8" s="11"/>
      <c r="AB8" s="11"/>
      <c r="AC8" s="11"/>
      <c r="AD8" s="11"/>
      <c r="AE8" s="11"/>
      <c r="AF8" s="11"/>
    </row>
    <row r="9" spans="1:32" ht="15" thickBot="1">
      <c r="B9" s="22"/>
      <c r="C9" s="9" t="s">
        <v>54</v>
      </c>
      <c r="K9" s="9" t="b">
        <v>1</v>
      </c>
      <c r="L9" s="9">
        <f>IF(K9,1,0)</f>
        <v>1</v>
      </c>
      <c r="M9" s="17" t="str">
        <f>IF(SUM(L9:L12)&lt;&gt;1,"ПОЈЕДИНАЧНА МЕРА ИЛИ ПАКЕТ ?","")</f>
        <v/>
      </c>
      <c r="Q9" s="23"/>
    </row>
    <row r="10" spans="1:32">
      <c r="B10" s="22"/>
      <c r="C10" s="9" t="s">
        <v>55</v>
      </c>
      <c r="K10" s="9" t="b">
        <v>0</v>
      </c>
      <c r="L10" s="9">
        <f>IF(K10,1,0)</f>
        <v>0</v>
      </c>
    </row>
    <row r="11" spans="1:32">
      <c r="B11" s="22"/>
      <c r="C11" s="9" t="s">
        <v>56</v>
      </c>
      <c r="K11" s="9" t="b">
        <v>0</v>
      </c>
      <c r="L11" s="9">
        <f>IF(K11,1,0)</f>
        <v>0</v>
      </c>
    </row>
    <row r="12" spans="1:32">
      <c r="B12" s="22"/>
      <c r="C12" s="9" t="s">
        <v>57</v>
      </c>
      <c r="K12" s="9" t="b">
        <v>0</v>
      </c>
      <c r="L12" s="9">
        <f>IF(K12,1,0)</f>
        <v>0</v>
      </c>
      <c r="N12" s="583"/>
      <c r="O12" s="583"/>
    </row>
    <row r="13" spans="1:32" ht="15" thickBot="1">
      <c r="B13" s="21" t="s">
        <v>59</v>
      </c>
    </row>
    <row r="14" spans="1:32" ht="15" thickBot="1">
      <c r="B14" s="22"/>
      <c r="C14" s="9" t="s">
        <v>424</v>
      </c>
      <c r="K14" s="9" t="b">
        <f>IF('ENERGETSKI KALKULATOR'!$D$14&gt;0,TRUE,FALSE)</f>
        <v>1</v>
      </c>
      <c r="L14" s="9">
        <f t="shared" ref="L14:L27" si="0">IF(K14,1,0)</f>
        <v>1</v>
      </c>
      <c r="M14" s="17" t="str">
        <f>IF(SUM(L14:L23)=0,"ИЗБОР МЕРА ?","")</f>
        <v/>
      </c>
    </row>
    <row r="15" spans="1:32" ht="15" thickBot="1">
      <c r="B15" s="22"/>
      <c r="C15" s="9" t="s">
        <v>425</v>
      </c>
      <c r="K15" s="9" t="b">
        <f>IF(IF('ENERGETSKI KALKULATOR'!D23="",FALSE,OR('ENERGETSKI KALKULATOR'!D24='ENERGETSKI KALKULATOR'!AA34,'ENERGETSKI KALKULATOR'!D24='ENERGETSKI KALKULATOR'!AA35,'ENERGETSKI KALKULATOR'!D24='ENERGETSKI KALKULATOR'!AA36)),TRUE,FALSE)</f>
        <v>0</v>
      </c>
      <c r="L15" s="9">
        <f t="shared" si="0"/>
        <v>0</v>
      </c>
      <c r="M15" s="17" t="str">
        <f>IF(K15,IF(K27,"СТАН-НЕДОЗВОЉЕНА МЕРА",""),"")</f>
        <v/>
      </c>
      <c r="N15" s="24"/>
      <c r="O15" s="24"/>
      <c r="P15" s="24"/>
      <c r="Q15" s="24"/>
      <c r="X15" s="21"/>
    </row>
    <row r="16" spans="1:32" ht="15" thickBot="1">
      <c r="B16" s="22"/>
      <c r="C16" s="9" t="s">
        <v>426</v>
      </c>
      <c r="K16" s="9" t="b">
        <f>IF(IF('ENERGETSKI KALKULATOR'!D23="",FALSE,OR('ENERGETSKI KALKULATOR'!D24='ENERGETSKI KALKULATOR'!AA37,'ENERGETSKI KALKULATOR'!D24='ENERGETSKI KALKULATOR'!AA38)),TRUE,FALSE)</f>
        <v>1</v>
      </c>
      <c r="L16" s="9">
        <f t="shared" si="0"/>
        <v>1</v>
      </c>
      <c r="M16" s="17" t="str">
        <f>IF(K16,IF(K27,"СТАН-НЕДОЗВОЉЕНА МЕРА",""),"")</f>
        <v/>
      </c>
    </row>
    <row r="17" spans="2:13" ht="15" thickBot="1">
      <c r="B17" s="22"/>
      <c r="C17" s="9" t="s">
        <v>427</v>
      </c>
      <c r="K17" s="9" t="b">
        <f>IF('ENERGETSKI KALKULATOR'!$D$31='ENERGETSKI KALKULATOR'!AA44,TRUE,FALSE)</f>
        <v>0</v>
      </c>
      <c r="L17" s="9">
        <f t="shared" si="0"/>
        <v>0</v>
      </c>
      <c r="M17" s="17" t="str">
        <f>IF(SUM(L17:L19)&gt;1,"ИЗАБРАНО ВИШЕ ИЗВОРА ТОПЛОТЕ !","")</f>
        <v/>
      </c>
    </row>
    <row r="18" spans="2:13" ht="15" thickBot="1">
      <c r="B18" s="22"/>
      <c r="C18" s="9" t="s">
        <v>428</v>
      </c>
      <c r="K18" s="9" t="b">
        <f>IF('ENERGETSKI KALKULATOR'!$D$31='ENERGETSKI KALKULATOR'!AA45,TRUE,FALSE)</f>
        <v>1</v>
      </c>
      <c r="L18" s="9">
        <f t="shared" si="0"/>
        <v>1</v>
      </c>
      <c r="M18" s="17" t="str">
        <f>IF(K18,IF(K27,"СТАН-НЕДОЗВОЉЕНА МЕРА",""),"")</f>
        <v/>
      </c>
    </row>
    <row r="19" spans="2:13" ht="15" thickBot="1">
      <c r="B19" s="22"/>
      <c r="C19" s="9" t="s">
        <v>429</v>
      </c>
      <c r="K19" s="9" t="b">
        <f>IF('ENERGETSKI KALKULATOR'!$D$31='ENERGETSKI KALKULATOR'!AA46,TRUE,FALSE)</f>
        <v>0</v>
      </c>
      <c r="L19" s="9">
        <f t="shared" si="0"/>
        <v>0</v>
      </c>
    </row>
    <row r="20" spans="2:13" ht="15" thickBot="1">
      <c r="B20" s="22"/>
      <c r="C20" s="9" t="s">
        <v>430</v>
      </c>
      <c r="K20" s="9" t="b">
        <f>IF('ENERGETSKI KALKULATOR'!I32="ДА",TRUE,FALSE)</f>
        <v>1</v>
      </c>
      <c r="L20" s="9">
        <f t="shared" si="0"/>
        <v>1</v>
      </c>
      <c r="M20" s="17" t="str">
        <f>IF(L20=1,IF(SUM(L17:L19)=0,"НЕОПХОДНО ИЗАБРАТИ ИЗВОР ТОПЛОТЕ",""),"")</f>
        <v/>
      </c>
    </row>
    <row r="21" spans="2:13">
      <c r="B21" s="22"/>
      <c r="C21" s="9" t="s">
        <v>431</v>
      </c>
      <c r="K21" s="9" t="b">
        <f>IF('ENERGETSKI KALKULATOR'!D38&gt;0,TRUE,FALSE)</f>
        <v>0</v>
      </c>
      <c r="L21" s="9">
        <f t="shared" si="0"/>
        <v>0</v>
      </c>
    </row>
    <row r="22" spans="2:13" ht="15" thickBot="1">
      <c r="B22" s="22"/>
      <c r="C22" s="9" t="s">
        <v>432</v>
      </c>
      <c r="K22" s="9" t="b">
        <f>IF('ENERGETSKI KALKULATOR'!D46&gt;0,TRUE,FALSE)</f>
        <v>0</v>
      </c>
      <c r="L22" s="9">
        <f t="shared" si="0"/>
        <v>0</v>
      </c>
    </row>
    <row r="23" spans="2:13" ht="15" thickBot="1">
      <c r="K23" s="9" t="b">
        <v>0</v>
      </c>
      <c r="L23" s="9">
        <f t="shared" si="0"/>
        <v>0</v>
      </c>
      <c r="M23" s="17" t="str">
        <f>IF(L23=1,IF(SUM(L21:L22)+SUM(L14:L19)=0,"ЗА КОЈУ МЕРУ СЕ РАДИ ТЕХ.ДОК. ?",""),"")</f>
        <v/>
      </c>
    </row>
    <row r="24" spans="2:13" ht="15" thickBot="1">
      <c r="B24" s="21" t="s">
        <v>506</v>
      </c>
    </row>
    <row r="25" spans="2:13" ht="15" thickBot="1">
      <c r="B25" s="22"/>
      <c r="C25" s="9" t="s">
        <v>433</v>
      </c>
      <c r="K25" s="9" t="b">
        <f>IF(C25='ENERGETSKI KALKULATOR'!$I$4,TRUE,FALSE)</f>
        <v>1</v>
      </c>
      <c r="L25" s="9">
        <f t="shared" si="0"/>
        <v>1</v>
      </c>
      <c r="M25" s="17" t="str">
        <f>IF(SUM(L25:L27)&lt;&gt;1,"ТИП ДОМАЋИНСТВА ?","")</f>
        <v/>
      </c>
    </row>
    <row r="26" spans="2:13">
      <c r="B26" s="22"/>
      <c r="C26" s="9" t="s">
        <v>434</v>
      </c>
      <c r="K26" s="9" t="b">
        <f>IF(C26='ENERGETSKI KALKULATOR'!$I$4,TRUE,FALSE)</f>
        <v>0</v>
      </c>
      <c r="L26" s="9">
        <f t="shared" si="0"/>
        <v>0</v>
      </c>
    </row>
    <row r="27" spans="2:13" ht="15" thickBot="1">
      <c r="B27" s="22"/>
      <c r="C27" s="9" t="s">
        <v>435</v>
      </c>
      <c r="K27" s="9" t="b">
        <f>IF(C27='ENERGETSKI KALKULATOR'!$I$4,TRUE,FALSE)</f>
        <v>0</v>
      </c>
      <c r="L27" s="9">
        <f t="shared" si="0"/>
        <v>0</v>
      </c>
    </row>
    <row r="28" spans="2:13" ht="15" thickBot="1">
      <c r="C28" s="25" t="s">
        <v>205</v>
      </c>
      <c r="D28" s="26">
        <f>'ENERGETSKI KALKULATOR'!$D$41</f>
        <v>0</v>
      </c>
      <c r="M28" s="17" t="str">
        <f>IF(D28=0,"БРОЈ ЧЛАНОВА ДОМАЋИНСТВА ?","")</f>
        <v>БРОЈ ЧЛАНОВА ДОМАЋИНСТВА ?</v>
      </c>
    </row>
    <row r="29" spans="2:13" ht="15" thickBot="1">
      <c r="B29" s="21" t="s">
        <v>46</v>
      </c>
    </row>
    <row r="30" spans="2:13" ht="15" thickBot="1">
      <c r="B30" s="22"/>
      <c r="C30" s="9" t="s">
        <v>3</v>
      </c>
      <c r="K30" s="9" t="b">
        <f>IF(C30='ENERGETSKI KALKULATOR'!$D$6,TRUE,FALSE)</f>
        <v>0</v>
      </c>
      <c r="L30" s="9">
        <f>IF(K30,1,0)</f>
        <v>0</v>
      </c>
      <c r="M30" s="17" t="str">
        <f>IF(SUM(L30:L37)&lt;&gt;1,"ГОДИНА ИЗГРАДЊЕ ?","")</f>
        <v/>
      </c>
    </row>
    <row r="31" spans="2:13">
      <c r="B31" s="22"/>
      <c r="C31" s="9" t="s">
        <v>4</v>
      </c>
      <c r="K31" s="9" t="b">
        <f>IF(C31='ENERGETSKI KALKULATOR'!$D$6,TRUE,FALSE)</f>
        <v>0</v>
      </c>
      <c r="L31" s="9">
        <f t="shared" ref="L31:L37" si="1">IF(K31,1,0)</f>
        <v>0</v>
      </c>
    </row>
    <row r="32" spans="2:13">
      <c r="B32" s="22"/>
      <c r="C32" s="9" t="s">
        <v>5</v>
      </c>
      <c r="K32" s="9" t="b">
        <f>IF(C32='ENERGETSKI KALKULATOR'!$D$6,TRUE,FALSE)</f>
        <v>1</v>
      </c>
      <c r="L32" s="9">
        <f t="shared" si="1"/>
        <v>1</v>
      </c>
    </row>
    <row r="33" spans="1:16">
      <c r="B33" s="22"/>
      <c r="C33" s="9" t="s">
        <v>6</v>
      </c>
      <c r="K33" s="9" t="b">
        <f>IF(C33='ENERGETSKI KALKULATOR'!$D$6,TRUE,FALSE)</f>
        <v>0</v>
      </c>
      <c r="L33" s="9">
        <f t="shared" si="1"/>
        <v>0</v>
      </c>
    </row>
    <row r="34" spans="1:16">
      <c r="B34" s="22"/>
      <c r="C34" s="9" t="s">
        <v>7</v>
      </c>
      <c r="K34" s="9" t="b">
        <f>IF(C34='ENERGETSKI KALKULATOR'!$D$6,TRUE,FALSE)</f>
        <v>0</v>
      </c>
      <c r="L34" s="9">
        <f t="shared" si="1"/>
        <v>0</v>
      </c>
    </row>
    <row r="35" spans="1:16">
      <c r="B35" s="22"/>
      <c r="C35" s="9" t="s">
        <v>8</v>
      </c>
      <c r="K35" s="9" t="b">
        <f>IF(C35='ENERGETSKI KALKULATOR'!$D$6,TRUE,FALSE)</f>
        <v>0</v>
      </c>
      <c r="L35" s="9">
        <f t="shared" si="1"/>
        <v>0</v>
      </c>
    </row>
    <row r="36" spans="1:16">
      <c r="B36" s="22"/>
      <c r="C36" s="9" t="s">
        <v>9</v>
      </c>
      <c r="K36" s="9" t="b">
        <f>IF(C36='ENERGETSKI KALKULATOR'!$D$6,TRUE,FALSE)</f>
        <v>0</v>
      </c>
      <c r="L36" s="9">
        <f t="shared" si="1"/>
        <v>0</v>
      </c>
    </row>
    <row r="37" spans="1:16" ht="15" thickBot="1">
      <c r="B37" s="22"/>
      <c r="C37" s="9" t="s">
        <v>22</v>
      </c>
      <c r="K37" s="9" t="b">
        <f>IF(C37='ENERGETSKI KALKULATOR'!$D$6,TRUE,FALSE)</f>
        <v>0</v>
      </c>
      <c r="L37" s="9">
        <f t="shared" si="1"/>
        <v>0</v>
      </c>
    </row>
    <row r="38" spans="1:16" ht="16.8" thickBot="1">
      <c r="A38" s="12"/>
      <c r="B38" s="21"/>
      <c r="E38" s="27"/>
      <c r="F38" s="28">
        <f>'ENERGETSKI KALKULATOR'!$I$6</f>
        <v>80</v>
      </c>
      <c r="G38" s="9" t="s">
        <v>60</v>
      </c>
      <c r="M38" s="17" t="str">
        <f>IF(SUM(L14:L19)&gt;0,IF(F38=0,"ПОВРШИНА ГРЕЈАНОГ ПРОСТОРА ?",""),"")</f>
        <v/>
      </c>
    </row>
    <row r="39" spans="1:16" ht="15" thickBot="1">
      <c r="A39" s="12"/>
      <c r="B39" s="21" t="s">
        <v>196</v>
      </c>
      <c r="E39" s="27"/>
      <c r="F39" s="29">
        <f>'ENERGETSKI KALKULATOR'!$I$7</f>
        <v>2.7</v>
      </c>
      <c r="G39" s="9" t="s">
        <v>0</v>
      </c>
      <c r="M39" s="17" t="str">
        <f>IF(SUM(L14:L19)&gt;0,IF(F39=0,"ВИСИНА ГРЕЈАНОГ ПРОСТОРА ?",""),"")</f>
        <v/>
      </c>
    </row>
    <row r="40" spans="1:16">
      <c r="A40" s="12"/>
      <c r="B40" s="21"/>
      <c r="D40" s="21"/>
      <c r="E40" s="21"/>
      <c r="F40" s="21"/>
    </row>
    <row r="41" spans="1:16" ht="15" thickBot="1">
      <c r="A41" s="12"/>
      <c r="B41" s="30"/>
      <c r="D41" s="21"/>
      <c r="E41" s="21"/>
      <c r="F41" s="21"/>
    </row>
    <row r="42" spans="1:16">
      <c r="A42" s="12"/>
      <c r="B42" s="21"/>
      <c r="D42" s="21"/>
      <c r="E42" s="31" t="s">
        <v>242</v>
      </c>
      <c r="F42" s="31"/>
      <c r="G42" s="620" t="s">
        <v>246</v>
      </c>
      <c r="H42" s="621"/>
      <c r="I42" s="32" t="s">
        <v>449</v>
      </c>
      <c r="J42" s="32" t="s">
        <v>449</v>
      </c>
      <c r="P42" s="31"/>
    </row>
    <row r="43" spans="1:16" ht="15" thickBot="1">
      <c r="A43" s="12"/>
      <c r="B43" s="21" t="s">
        <v>437</v>
      </c>
      <c r="E43" s="33" t="s">
        <v>243</v>
      </c>
      <c r="F43" s="33" t="s">
        <v>448</v>
      </c>
      <c r="G43" s="622"/>
      <c r="H43" s="623"/>
      <c r="I43" s="34" t="s">
        <v>244</v>
      </c>
      <c r="J43" s="34" t="s">
        <v>245</v>
      </c>
      <c r="P43" s="33" t="s">
        <v>448</v>
      </c>
    </row>
    <row r="44" spans="1:16" ht="15" thickBot="1">
      <c r="B44" s="22"/>
      <c r="C44" s="9" t="s">
        <v>30</v>
      </c>
      <c r="E44" s="35" t="s">
        <v>734</v>
      </c>
      <c r="F44" s="35">
        <f>'ENERGETSKI KALKULATOR'!$D$8</f>
        <v>8000</v>
      </c>
      <c r="G44" s="36">
        <v>8445600</v>
      </c>
      <c r="H44" s="37" t="s">
        <v>735</v>
      </c>
      <c r="I44" s="38">
        <f>1/(G44/3600)</f>
        <v>4.2625745950554135E-4</v>
      </c>
      <c r="J44" s="39">
        <f>IF(L44,(VLOOKUP(KALKULATOR!$C$29,KALKULATOR!$B$52:$T$59,19,FALSE)*SUM(KALKULATOR!$E$38:$E$45)/KALKULATOR!$B$139),"")</f>
        <v>13.878141309059208</v>
      </c>
      <c r="K44" s="9" t="b">
        <f>IF(C44='ENERGETSKI KALKULATOR'!$D$7,TRUE,FALSE)</f>
        <v>1</v>
      </c>
      <c r="L44" s="9">
        <f t="shared" ref="L44:L51" si="2">IF(K44,1,0)</f>
        <v>1</v>
      </c>
      <c r="M44" s="17" t="str">
        <f>IF(SUM(L14:L19)&gt;0,IF(SUM(L44:L51)&lt;&gt;1,"ИЗБОР ПОСТОЈЕЋЕГ ГРЕЈАЊА ?",""),"")</f>
        <v/>
      </c>
      <c r="P44" s="35">
        <v>7000</v>
      </c>
    </row>
    <row r="45" spans="1:16">
      <c r="B45" s="22"/>
      <c r="C45" s="9" t="s">
        <v>29</v>
      </c>
      <c r="E45" s="40" t="s">
        <v>757</v>
      </c>
      <c r="F45" s="40">
        <f>'ENERGETSKI KALKULATOR'!$D$8</f>
        <v>8000</v>
      </c>
      <c r="G45" s="41">
        <v>17886000</v>
      </c>
      <c r="H45" s="42" t="s">
        <v>756</v>
      </c>
      <c r="I45" s="43">
        <f>1/(G45/3600)</f>
        <v>2.0127474002012749E-4</v>
      </c>
      <c r="J45" s="44" t="str">
        <f>IF(L45,(VLOOKUP(KALKULATOR!$C$29,KALKULATOR!$B$52:$T$59,19,FALSE)*SUM(KALKULATOR!$E$38:$E$45)/KALKULATOR!$B$139),"")</f>
        <v/>
      </c>
      <c r="K45" s="9" t="b">
        <f>IF(C45='ENERGETSKI KALKULATOR'!$D$7,TRUE,FALSE)</f>
        <v>0</v>
      </c>
      <c r="L45" s="9">
        <f t="shared" si="2"/>
        <v>0</v>
      </c>
      <c r="P45" s="40">
        <v>22000</v>
      </c>
    </row>
    <row r="46" spans="1:16">
      <c r="B46" s="22"/>
      <c r="C46" s="9" t="s">
        <v>85</v>
      </c>
      <c r="E46" s="40" t="s">
        <v>736</v>
      </c>
      <c r="F46" s="40">
        <f>'ENERGETSKI KALKULATOR'!$D$8</f>
        <v>8000</v>
      </c>
      <c r="G46" s="41">
        <v>41200</v>
      </c>
      <c r="H46" s="42" t="s">
        <v>737</v>
      </c>
      <c r="I46" s="45">
        <f>1/(G46/3600)</f>
        <v>8.7378640776699032E-2</v>
      </c>
      <c r="J46" s="44" t="str">
        <f>IF(L46,(VLOOKUP(KALKULATOR!$C$29,KALKULATOR!$B$52:$T$59,19,FALSE)*SUM(KALKULATOR!$E$38:$E$45)/KALKULATOR!$B$139),"")</f>
        <v/>
      </c>
      <c r="K46" s="9" t="b">
        <f>IF(C46='ENERGETSKI KALKULATOR'!$D$7,TRUE,FALSE)</f>
        <v>0</v>
      </c>
      <c r="L46" s="9">
        <f t="shared" si="2"/>
        <v>0</v>
      </c>
      <c r="P46" s="40">
        <v>90</v>
      </c>
    </row>
    <row r="47" spans="1:16">
      <c r="B47" s="22"/>
      <c r="C47" s="9" t="s">
        <v>31</v>
      </c>
      <c r="E47" s="40" t="s">
        <v>192</v>
      </c>
      <c r="F47" s="40">
        <f>'ENERGETSKI KALKULATOR'!$D$8</f>
        <v>8000</v>
      </c>
      <c r="G47" s="41">
        <v>1</v>
      </c>
      <c r="H47" s="42" t="s">
        <v>738</v>
      </c>
      <c r="I47" s="44">
        <v>1</v>
      </c>
      <c r="J47" s="44" t="str">
        <f>IF(L47,(VLOOKUP(KALKULATOR!$C$29,KALKULATOR!$B$52:$T$59,19,FALSE)*SUM(KALKULATOR!$E$38:$E$45)/KALKULATOR!$B$139),"")</f>
        <v/>
      </c>
      <c r="K47" s="9" t="b">
        <f>IF(C47='ENERGETSKI KALKULATOR'!$D$7,TRUE,FALSE)</f>
        <v>0</v>
      </c>
      <c r="L47" s="9">
        <f t="shared" si="2"/>
        <v>0</v>
      </c>
      <c r="P47" s="40">
        <v>10</v>
      </c>
    </row>
    <row r="48" spans="1:16">
      <c r="B48" s="22"/>
      <c r="C48" s="9" t="s">
        <v>32</v>
      </c>
      <c r="E48" s="40" t="s">
        <v>739</v>
      </c>
      <c r="F48" s="40">
        <f>IF('ENERGETSKI KALKULATOR'!$D$31='ENERGETSKI KALKULATOR'!AA44,'ENERGETSKI KALKULATOR'!$D$32,'ENERGETSKI KALKULATOR'!$D$8)</f>
        <v>8000</v>
      </c>
      <c r="G48" s="41">
        <v>33500</v>
      </c>
      <c r="H48" s="42" t="s">
        <v>735</v>
      </c>
      <c r="I48" s="45">
        <f>1/(G48/3600)</f>
        <v>0.10746268656716418</v>
      </c>
      <c r="J48" s="44" t="str">
        <f>IF(L48,(VLOOKUP(KALKULATOR!$C$29,KALKULATOR!$B$52:$T$59,19,FALSE)*SUM(KALKULATOR!$E$38:$E$45)/KALKULATOR!$B$139),"")</f>
        <v/>
      </c>
      <c r="K48" s="9" t="b">
        <f>IF(C48='ENERGETSKI KALKULATOR'!$D$7,TRUE,FALSE)</f>
        <v>0</v>
      </c>
      <c r="L48" s="9">
        <f t="shared" si="2"/>
        <v>0</v>
      </c>
      <c r="P48" s="46">
        <v>42.131999999999998</v>
      </c>
    </row>
    <row r="49" spans="1:18">
      <c r="B49" s="22"/>
      <c r="C49" s="9" t="s">
        <v>153</v>
      </c>
      <c r="E49" s="40" t="s">
        <v>757</v>
      </c>
      <c r="F49" s="40">
        <f>IF('ENERGETSKI KALKULATOR'!$D$31='ENERGETSKI KALKULATOR'!AA45,'ENERGETSKI KALKULATOR'!$D$32,'ENERGETSKI KALKULATOR'!$D$8)</f>
        <v>32000</v>
      </c>
      <c r="G49" s="41">
        <v>18000000</v>
      </c>
      <c r="H49" s="42" t="s">
        <v>756</v>
      </c>
      <c r="I49" s="43">
        <f>1/(G49/3600)</f>
        <v>2.0000000000000001E-4</v>
      </c>
      <c r="J49" s="44" t="str">
        <f>IF(L49,(VLOOKUP(KALKULATOR!$C$29,KALKULATOR!$B$52:$T$59,19,FALSE)*SUM(KALKULATOR!$E$38:$E$45)/KALKULATOR!$B$139),"")</f>
        <v/>
      </c>
      <c r="K49" s="9" t="b">
        <f>IF(C49='ENERGETSKI KALKULATOR'!$D$7,TRUE,FALSE)</f>
        <v>0</v>
      </c>
      <c r="L49" s="9">
        <f t="shared" si="2"/>
        <v>0</v>
      </c>
      <c r="P49" s="40">
        <v>33000</v>
      </c>
    </row>
    <row r="50" spans="1:18" ht="15" thickBot="1">
      <c r="B50" s="22"/>
      <c r="C50" s="9" t="s">
        <v>33</v>
      </c>
      <c r="E50" s="40" t="s">
        <v>192</v>
      </c>
      <c r="F50" s="40">
        <f>IF('ENERGETSKI KALKULATOR'!$D$31='ENERGETSKI KALKULATOR'!AA46,'ENERGETSKI KALKULATOR'!$D$32,'ENERGETSKI KALKULATOR'!$D$8)</f>
        <v>8000</v>
      </c>
      <c r="G50" s="41">
        <v>1</v>
      </c>
      <c r="H50" s="42" t="s">
        <v>738</v>
      </c>
      <c r="I50" s="44">
        <v>1</v>
      </c>
      <c r="J50" s="44" t="str">
        <f>IF(L50,(VLOOKUP(KALKULATOR!$C$29,KALKULATOR!$B$52:$T$59,19,FALSE)*SUM(KALKULATOR!$E$38:$E$45)/KALKULATOR!$B$139),"")</f>
        <v/>
      </c>
      <c r="K50" s="9" t="b">
        <f>IF(C50='ENERGETSKI KALKULATOR'!$D$7,TRUE,FALSE)</f>
        <v>0</v>
      </c>
      <c r="L50" s="9">
        <f t="shared" si="2"/>
        <v>0</v>
      </c>
      <c r="P50" s="40">
        <v>5</v>
      </c>
    </row>
    <row r="51" spans="1:18" ht="15" thickBot="1">
      <c r="B51" s="22"/>
      <c r="C51" s="9" t="s">
        <v>140</v>
      </c>
      <c r="E51" s="47" t="s">
        <v>192</v>
      </c>
      <c r="F51" s="47">
        <f>'ENERGETSKI KALKULATOR'!$D$8</f>
        <v>8000</v>
      </c>
      <c r="G51" s="48">
        <v>1</v>
      </c>
      <c r="H51" s="49" t="s">
        <v>738</v>
      </c>
      <c r="I51" s="50">
        <v>1</v>
      </c>
      <c r="J51" s="50" t="str">
        <f>IF(L51,(VLOOKUP(KALKULATOR!$C$29,KALKULATOR!$B$52:$T$59,19,FALSE)*SUM(KALKULATOR!$E$38:$E$45)/KALKULATOR!$B$139),"")</f>
        <v/>
      </c>
      <c r="K51" s="9" t="b">
        <f>IF(C51='ENERGETSKI KALKULATOR'!$D$7,TRUE,FALSE)</f>
        <v>0</v>
      </c>
      <c r="L51" s="9">
        <f t="shared" si="2"/>
        <v>0</v>
      </c>
      <c r="M51" s="17" t="str">
        <f>IF(L51,"НЕСТАНДАРДНИ ИЗВОР ТОПЛОТЕ","")</f>
        <v/>
      </c>
      <c r="P51" s="51">
        <v>8.06</v>
      </c>
    </row>
    <row r="52" spans="1:18">
      <c r="B52" s="9" t="s">
        <v>61</v>
      </c>
      <c r="I52" s="52"/>
      <c r="J52" s="16"/>
    </row>
    <row r="54" spans="1:18" ht="15" thickBot="1">
      <c r="A54" s="53"/>
      <c r="B54" s="54" t="s">
        <v>391</v>
      </c>
      <c r="C54" s="54"/>
      <c r="D54" s="54"/>
      <c r="E54" s="53"/>
      <c r="F54" s="53"/>
      <c r="G54" s="53"/>
      <c r="H54" s="53"/>
      <c r="I54" s="53"/>
      <c r="J54" s="53"/>
    </row>
    <row r="55" spans="1:18" ht="15" thickBot="1">
      <c r="A55" s="53"/>
      <c r="B55" s="22"/>
      <c r="C55" s="54" t="s">
        <v>390</v>
      </c>
      <c r="D55" s="54"/>
      <c r="E55" s="53"/>
      <c r="F55" s="53"/>
      <c r="G55" s="53"/>
      <c r="H55" s="53"/>
      <c r="I55" s="53"/>
      <c r="J55" s="53"/>
      <c r="K55" s="9" t="b">
        <f>IF(C55='ENERGETSKI KALKULATOR'!$I$8,TRUE,FALSE)</f>
        <v>1</v>
      </c>
      <c r="L55" s="9">
        <f>IF(K55,1,0)</f>
        <v>1</v>
      </c>
      <c r="M55" s="17" t="str">
        <f>IF(SUM(L14:L19)&gt;0,IF(SUM(L55:L57)&lt;&gt;1,"ТИП ПОСТОЈЕЋЕГ ГРЕЈАЊА ?",""),"")</f>
        <v/>
      </c>
    </row>
    <row r="56" spans="1:18">
      <c r="A56" s="53"/>
      <c r="B56" s="22"/>
      <c r="C56" s="54" t="s">
        <v>389</v>
      </c>
      <c r="D56" s="54"/>
      <c r="E56" s="53"/>
      <c r="F56" s="53"/>
      <c r="G56" s="53"/>
      <c r="H56" s="53"/>
      <c r="I56" s="53"/>
      <c r="J56" s="53"/>
      <c r="K56" s="9" t="b">
        <f>IF(C56='ENERGETSKI KALKULATOR'!$I$8,TRUE,FALSE)</f>
        <v>0</v>
      </c>
      <c r="L56" s="9">
        <f>IF(K56,1,0)</f>
        <v>0</v>
      </c>
    </row>
    <row r="57" spans="1:18">
      <c r="A57" s="53"/>
      <c r="B57" s="22"/>
      <c r="C57" s="54" t="s">
        <v>392</v>
      </c>
      <c r="D57" s="54"/>
      <c r="E57" s="53"/>
      <c r="F57" s="53"/>
      <c r="G57" s="53"/>
      <c r="H57" s="53"/>
      <c r="I57" s="53"/>
      <c r="J57" s="53"/>
      <c r="K57" s="9" t="b">
        <f>IF(C57='ENERGETSKI KALKULATOR'!$I$8,TRUE,FALSE)</f>
        <v>0</v>
      </c>
      <c r="L57" s="9">
        <f>IF(K57,1,0)</f>
        <v>0</v>
      </c>
    </row>
    <row r="58" spans="1:18">
      <c r="A58" s="55">
        <v>1</v>
      </c>
      <c r="B58" s="56" t="s">
        <v>62</v>
      </c>
    </row>
    <row r="59" spans="1:18" ht="15" thickBot="1">
      <c r="A59" s="55"/>
      <c r="B59" s="21" t="s">
        <v>444</v>
      </c>
    </row>
    <row r="60" spans="1:18" ht="16.8" thickBot="1">
      <c r="B60" s="21" t="s">
        <v>438</v>
      </c>
      <c r="F60" s="29">
        <f>'ENERGETSKI KALKULATOR'!$D$15</f>
        <v>20</v>
      </c>
      <c r="G60" s="9" t="s">
        <v>60</v>
      </c>
      <c r="H60" s="57" t="str">
        <f>IF(   $K$14,   IF(   F60=0,   "- УНОС ПОВРШИНЕ",   ""   ),   IF(   F60&lt;&gt;0,   "! ! ! ПОВРШИНА=0 ! ! !",   ""   )   )</f>
        <v/>
      </c>
      <c r="M60" s="17" t="str">
        <f>IF(K14,IF(F60=0,"ПОВРШИНА ПРОЗОРА ?",""),"")</f>
        <v/>
      </c>
    </row>
    <row r="61" spans="1:18" ht="15" thickBot="1">
      <c r="B61" s="21" t="s">
        <v>439</v>
      </c>
    </row>
    <row r="62" spans="1:18" ht="15" thickBot="1">
      <c r="B62" s="22"/>
      <c r="C62" s="9" t="s">
        <v>10</v>
      </c>
      <c r="K62" s="9" t="b">
        <f>IF(C62='ENERGETSKI KALKULATOR'!$D$17,TRUE,FALSE)</f>
        <v>1</v>
      </c>
      <c r="L62" s="9">
        <f>IF(K62,1,0)</f>
        <v>1</v>
      </c>
      <c r="M62" s="17" t="str">
        <f>IF(K14,IF(SUM(L62:L63)&lt;&gt;1,"ТИП ПРОЗОРА ?",""),"")</f>
        <v/>
      </c>
      <c r="Q62" s="58"/>
      <c r="R62" s="58"/>
    </row>
    <row r="63" spans="1:18">
      <c r="B63" s="59"/>
      <c r="C63" s="9" t="s">
        <v>11</v>
      </c>
      <c r="K63" s="9" t="b">
        <f>IF(C63='ENERGETSKI KALKULATOR'!$D$17,TRUE,FALSE)</f>
        <v>0</v>
      </c>
      <c r="L63" s="9">
        <f>IF(K63,1,0)</f>
        <v>0</v>
      </c>
      <c r="Q63" s="58"/>
      <c r="R63" s="58"/>
    </row>
    <row r="64" spans="1:18">
      <c r="B64" s="21" t="s">
        <v>440</v>
      </c>
    </row>
    <row r="65" spans="1:13">
      <c r="B65" s="59"/>
      <c r="C65" s="9" t="s">
        <v>498</v>
      </c>
      <c r="K65" s="9" t="b">
        <f>IF(C65='ENERGETSKI KALKULATOR'!$D$18,TRUE,FALSE)</f>
        <v>0</v>
      </c>
    </row>
    <row r="66" spans="1:13">
      <c r="B66" s="22"/>
      <c r="C66" s="9" t="s">
        <v>499</v>
      </c>
      <c r="K66" s="9" t="b">
        <f>IF(C66='ENERGETSKI KALKULATOR'!$D$18,TRUE,FALSE)</f>
        <v>0</v>
      </c>
    </row>
    <row r="67" spans="1:13" ht="15" thickBot="1">
      <c r="B67" s="59"/>
      <c r="C67" s="9" t="s">
        <v>500</v>
      </c>
      <c r="K67" s="9" t="b">
        <f>IF(C67='ENERGETSKI KALKULATOR'!$D$18,TRUE,FALSE)</f>
        <v>1</v>
      </c>
    </row>
    <row r="68" spans="1:13" ht="15" thickBot="1">
      <c r="A68" s="12"/>
      <c r="B68" s="60"/>
      <c r="M68" s="17" t="str">
        <f>IF(K68,"НЕСТАНДАРДНИ ПРОЗОР","")</f>
        <v/>
      </c>
    </row>
    <row r="69" spans="1:13" ht="16.8" thickBot="1">
      <c r="B69" s="61" t="s">
        <v>441</v>
      </c>
      <c r="F69" s="29">
        <f>'ENERGETSKI KALKULATOR'!$I$14</f>
        <v>2</v>
      </c>
      <c r="G69" s="9" t="s">
        <v>60</v>
      </c>
      <c r="H69" s="57" t="str">
        <f>IF(   $K$14,   IF(   F69=0,   "- УНОС ПОВРШИНЕ",   ""   ),   IF(   F69&lt;&gt;0,   "! ! ! ПОВРШИНА=0 ! ! !",   ""   )   )</f>
        <v/>
      </c>
      <c r="M69" s="17" t="str">
        <f>IF(K14,IF(F69=0,"ДА ЛИ СЕ ВРШИ ЗАМЕНА ВРАТА ?",""),"")</f>
        <v/>
      </c>
    </row>
    <row r="70" spans="1:13" ht="15" thickBot="1">
      <c r="B70" s="61" t="s">
        <v>501</v>
      </c>
    </row>
    <row r="71" spans="1:13" ht="15" thickBot="1">
      <c r="B71" s="59"/>
      <c r="C71" s="62" t="s">
        <v>63</v>
      </c>
      <c r="K71" s="9" t="b">
        <f>IF(C71='ENERGETSKI KALKULATOR'!$I$15,TRUE,FALSE)</f>
        <v>1</v>
      </c>
      <c r="L71" s="9">
        <f>IF(K71,1,0)</f>
        <v>1</v>
      </c>
      <c r="M71" s="17" t="str">
        <f>IF(K14,IF(F69&gt;0,IF(SUM(L71:L72)&lt;&gt;1,"ТИП ВРАТА ?",""),""),"")</f>
        <v/>
      </c>
    </row>
    <row r="72" spans="1:13" ht="15" thickBot="1">
      <c r="B72" s="59"/>
      <c r="C72" s="62" t="s">
        <v>64</v>
      </c>
      <c r="K72" s="9" t="b">
        <f>IF(C72='ENERGETSKI KALKULATOR'!$I$15,TRUE,FALSE)</f>
        <v>0</v>
      </c>
      <c r="L72" s="9">
        <f>IF(K72,1,0)</f>
        <v>0</v>
      </c>
    </row>
    <row r="73" spans="1:13" ht="15" thickBot="1">
      <c r="A73" s="53"/>
      <c r="B73" s="14" t="s">
        <v>442</v>
      </c>
      <c r="C73" s="63">
        <f>'ENERGETSKI KALKULATOR'!$D$14</f>
        <v>350000</v>
      </c>
      <c r="D73" s="53"/>
      <c r="E73" s="64"/>
      <c r="F73" s="65" t="s">
        <v>557</v>
      </c>
      <c r="G73" s="66"/>
      <c r="H73" s="66"/>
      <c r="I73" s="66"/>
      <c r="J73" s="67"/>
      <c r="M73" s="17" t="str">
        <f>IF($K$14,IF(C73=0,"ВРЕДНОСТ ИНВЕСТИЦИЈЕ ?",""),"")</f>
        <v/>
      </c>
    </row>
    <row r="74" spans="1:13" ht="16.8" thickBot="1">
      <c r="A74" s="53"/>
      <c r="B74" s="68" t="s">
        <v>116</v>
      </c>
      <c r="C74" s="54"/>
      <c r="D74" s="54"/>
      <c r="E74" s="69" t="s">
        <v>556</v>
      </c>
      <c r="F74" s="70"/>
      <c r="G74" s="54" t="s">
        <v>84</v>
      </c>
      <c r="H74" s="53"/>
      <c r="I74" s="53"/>
      <c r="J74" s="71"/>
    </row>
    <row r="75" spans="1:13" ht="16.8" thickBot="1">
      <c r="A75" s="53"/>
      <c r="B75" s="14" t="s">
        <v>34</v>
      </c>
      <c r="C75" s="72"/>
      <c r="D75" s="54"/>
      <c r="E75" s="69" t="s">
        <v>559</v>
      </c>
      <c r="F75" s="73"/>
      <c r="G75" s="54" t="s">
        <v>84</v>
      </c>
      <c r="H75" s="53"/>
      <c r="I75" s="53"/>
      <c r="J75" s="71"/>
    </row>
    <row r="76" spans="1:13" ht="16.2" thickBot="1">
      <c r="A76" s="53"/>
      <c r="B76" s="14" t="s">
        <v>35</v>
      </c>
      <c r="C76" s="74"/>
      <c r="D76" s="54"/>
      <c r="E76" s="75" t="s">
        <v>560</v>
      </c>
      <c r="F76" s="76">
        <v>0.25</v>
      </c>
      <c r="G76" s="54" t="s">
        <v>561</v>
      </c>
      <c r="H76" s="53"/>
      <c r="I76" s="53"/>
      <c r="J76" s="71"/>
    </row>
    <row r="77" spans="1:13" ht="16.8" thickBot="1">
      <c r="A77" s="53"/>
      <c r="B77" s="14" t="s">
        <v>502</v>
      </c>
      <c r="C77" s="77">
        <f>'ENERGETSKI KALKULATOR'!$I$17</f>
        <v>1.3</v>
      </c>
      <c r="D77" s="54" t="s">
        <v>84</v>
      </c>
      <c r="E77" s="78" t="s">
        <v>562</v>
      </c>
      <c r="F77" s="76">
        <v>0.04</v>
      </c>
      <c r="G77" s="54" t="s">
        <v>563</v>
      </c>
      <c r="H77" s="53"/>
      <c r="I77" s="53"/>
      <c r="J77" s="71"/>
      <c r="M77" s="17" t="str">
        <f>IF($K$14,IF(C77=0,"КОЕФИЦИЈЕНТ ПРОЗОРА ?",""),"")</f>
        <v/>
      </c>
    </row>
    <row r="78" spans="1:13">
      <c r="A78" s="53"/>
      <c r="B78" s="68" t="s">
        <v>443</v>
      </c>
      <c r="C78" s="54"/>
      <c r="D78" s="54"/>
      <c r="E78" s="69" t="s">
        <v>564</v>
      </c>
      <c r="F78" s="76">
        <f>(1-F76)*F60</f>
        <v>15</v>
      </c>
      <c r="G78" s="54" t="s">
        <v>566</v>
      </c>
      <c r="H78" s="53"/>
      <c r="I78" s="53"/>
      <c r="J78" s="71"/>
    </row>
    <row r="79" spans="1:13">
      <c r="A79" s="53"/>
      <c r="B79" s="14" t="s">
        <v>34</v>
      </c>
      <c r="C79" s="72"/>
      <c r="D79" s="54"/>
      <c r="E79" s="69" t="s">
        <v>569</v>
      </c>
      <c r="F79" s="76">
        <f>F76*F60</f>
        <v>5</v>
      </c>
      <c r="G79" s="54" t="s">
        <v>567</v>
      </c>
      <c r="H79" s="53"/>
      <c r="I79" s="53"/>
      <c r="J79" s="71"/>
    </row>
    <row r="80" spans="1:13" ht="15" thickBot="1">
      <c r="A80" s="53"/>
      <c r="B80" s="14" t="s">
        <v>35</v>
      </c>
      <c r="C80" s="74"/>
      <c r="D80" s="54"/>
      <c r="E80" s="69" t="s">
        <v>565</v>
      </c>
      <c r="F80" s="76">
        <f>4*F60*0.85</f>
        <v>68</v>
      </c>
      <c r="G80" s="54" t="s">
        <v>568</v>
      </c>
      <c r="H80" s="53"/>
      <c r="I80" s="53"/>
      <c r="J80" s="71"/>
    </row>
    <row r="81" spans="1:17" ht="16.8" thickBot="1">
      <c r="A81" s="53"/>
      <c r="B81" s="14" t="s">
        <v>502</v>
      </c>
      <c r="C81" s="79">
        <f>'ENERGETSKI KALKULATOR'!$I$16</f>
        <v>1.6</v>
      </c>
      <c r="D81" s="54" t="s">
        <v>84</v>
      </c>
      <c r="E81" s="69" t="s">
        <v>558</v>
      </c>
      <c r="F81" s="54">
        <f>(F74*F78+F75*F79+F77*F80)/F60</f>
        <v>0.13600000000000001</v>
      </c>
      <c r="G81" s="80" t="s">
        <v>571</v>
      </c>
      <c r="H81" s="53"/>
      <c r="I81" s="53"/>
      <c r="J81" s="71"/>
      <c r="M81" s="17" t="str">
        <f>IF($K$14,IF(F69&gt;0,IF(C81=0,"КОЕФИЦИЈЕНТ ВРАТА ?",""),""),"")</f>
        <v/>
      </c>
    </row>
    <row r="82" spans="1:17" s="89" customFormat="1" ht="21.6" thickBot="1">
      <c r="A82" s="81" t="s">
        <v>740</v>
      </c>
      <c r="B82" s="82">
        <f>KALKULATOR!$X$60</f>
        <v>80000.000000000015</v>
      </c>
      <c r="C82" s="83"/>
      <c r="D82" s="84"/>
      <c r="E82" s="84" t="s">
        <v>741</v>
      </c>
      <c r="F82" s="85">
        <f>USTEDA!$D$15</f>
        <v>20485.783420955795</v>
      </c>
      <c r="G82" s="86"/>
      <c r="H82" s="86"/>
      <c r="I82" s="87" t="s">
        <v>742</v>
      </c>
      <c r="J82" s="88">
        <f>C73/F82</f>
        <v>17.085019049941231</v>
      </c>
    </row>
    <row r="83" spans="1:17">
      <c r="A83" s="55">
        <v>2</v>
      </c>
      <c r="B83" s="56" t="s">
        <v>75</v>
      </c>
      <c r="M83" s="9" t="s">
        <v>570</v>
      </c>
    </row>
    <row r="84" spans="1:17">
      <c r="B84" s="56" t="s">
        <v>445</v>
      </c>
      <c r="K84" s="21"/>
      <c r="L84" s="21"/>
      <c r="M84" s="21"/>
      <c r="N84" s="21"/>
    </row>
    <row r="85" spans="1:17">
      <c r="D85" s="90" t="s">
        <v>65</v>
      </c>
      <c r="E85" s="91">
        <v>1</v>
      </c>
      <c r="F85" s="91">
        <v>2</v>
      </c>
      <c r="G85" s="91">
        <v>3</v>
      </c>
      <c r="H85" s="91">
        <v>4</v>
      </c>
      <c r="I85" s="91">
        <v>5</v>
      </c>
      <c r="L85" s="92"/>
      <c r="M85" s="92"/>
      <c r="N85" s="92"/>
      <c r="O85" s="92"/>
      <c r="P85" s="92"/>
    </row>
    <row r="86" spans="1:17" ht="76.5" customHeight="1">
      <c r="D86" s="90"/>
      <c r="E86" s="93" t="s">
        <v>94</v>
      </c>
      <c r="F86" s="93" t="s">
        <v>95</v>
      </c>
      <c r="G86" s="93" t="s">
        <v>96</v>
      </c>
      <c r="H86" s="93" t="s">
        <v>101</v>
      </c>
      <c r="I86" s="93" t="s">
        <v>100</v>
      </c>
      <c r="K86" s="94" t="s">
        <v>82</v>
      </c>
      <c r="L86" s="94" t="s">
        <v>283</v>
      </c>
      <c r="M86" s="92"/>
      <c r="N86" s="92"/>
      <c r="O86" s="92"/>
      <c r="P86" s="92"/>
      <c r="Q86" s="92"/>
    </row>
    <row r="87" spans="1:17">
      <c r="D87" s="95" t="s">
        <v>19</v>
      </c>
      <c r="E87" s="96">
        <v>0</v>
      </c>
      <c r="F87" s="96">
        <v>0</v>
      </c>
      <c r="G87" s="96">
        <v>0</v>
      </c>
      <c r="H87" s="96">
        <v>0</v>
      </c>
      <c r="I87" s="96">
        <v>0</v>
      </c>
      <c r="K87" s="9">
        <v>2.33</v>
      </c>
      <c r="L87" s="9">
        <f>IF(K87=0,0,1/K87)</f>
        <v>0.42918454935622319</v>
      </c>
    </row>
    <row r="88" spans="1:17">
      <c r="D88" s="12" t="s">
        <v>12</v>
      </c>
      <c r="E88" s="96">
        <v>0</v>
      </c>
      <c r="F88" s="96">
        <v>0</v>
      </c>
      <c r="G88" s="96">
        <v>0</v>
      </c>
      <c r="H88" s="96">
        <v>0</v>
      </c>
      <c r="I88" s="96">
        <v>0</v>
      </c>
      <c r="K88" s="9">
        <v>0.64</v>
      </c>
      <c r="L88" s="9">
        <f t="shared" ref="L88:L116" si="3">IF(K88=0,0,1/K88)</f>
        <v>1.5625</v>
      </c>
    </row>
    <row r="89" spans="1:17">
      <c r="D89" s="12" t="s">
        <v>13</v>
      </c>
      <c r="E89" s="96">
        <v>0</v>
      </c>
      <c r="F89" s="96">
        <v>0</v>
      </c>
      <c r="G89" s="96">
        <v>0</v>
      </c>
      <c r="H89" s="96">
        <v>0</v>
      </c>
      <c r="I89" s="96">
        <v>0</v>
      </c>
      <c r="K89" s="9">
        <v>0.35</v>
      </c>
      <c r="L89" s="9">
        <f t="shared" si="3"/>
        <v>2.8571428571428572</v>
      </c>
    </row>
    <row r="90" spans="1:17">
      <c r="D90" s="12" t="s">
        <v>14</v>
      </c>
      <c r="E90" s="96">
        <v>0</v>
      </c>
      <c r="F90" s="96">
        <v>0</v>
      </c>
      <c r="G90" s="96">
        <v>0</v>
      </c>
      <c r="H90" s="96">
        <v>0</v>
      </c>
      <c r="I90" s="96">
        <v>0</v>
      </c>
      <c r="K90" s="9">
        <v>0.56000000000000005</v>
      </c>
      <c r="L90" s="9">
        <f t="shared" si="3"/>
        <v>1.7857142857142856</v>
      </c>
    </row>
    <row r="91" spans="1:17">
      <c r="D91" s="12" t="s">
        <v>47</v>
      </c>
      <c r="E91" s="96">
        <v>0</v>
      </c>
      <c r="F91" s="96">
        <v>0</v>
      </c>
      <c r="G91" s="96">
        <v>0</v>
      </c>
      <c r="H91" s="96">
        <v>0</v>
      </c>
      <c r="I91" s="96">
        <v>0</v>
      </c>
      <c r="K91" s="9">
        <v>0.24</v>
      </c>
      <c r="L91" s="9">
        <f t="shared" si="3"/>
        <v>4.166666666666667</v>
      </c>
    </row>
    <row r="92" spans="1:17">
      <c r="D92" s="12" t="s">
        <v>15</v>
      </c>
      <c r="E92" s="96">
        <v>0</v>
      </c>
      <c r="F92" s="96">
        <v>0</v>
      </c>
      <c r="G92" s="96">
        <v>0</v>
      </c>
      <c r="H92" s="96">
        <v>0</v>
      </c>
      <c r="I92" s="96">
        <v>0</v>
      </c>
      <c r="K92" s="9">
        <v>0.18</v>
      </c>
      <c r="L92" s="9">
        <f t="shared" si="3"/>
        <v>5.5555555555555554</v>
      </c>
    </row>
    <row r="93" spans="1:17">
      <c r="D93" s="97" t="s">
        <v>16</v>
      </c>
      <c r="E93" s="96">
        <v>0</v>
      </c>
      <c r="F93" s="96">
        <v>0</v>
      </c>
      <c r="G93" s="96">
        <v>0</v>
      </c>
      <c r="H93" s="96">
        <v>0</v>
      </c>
      <c r="I93" s="96">
        <v>0</v>
      </c>
      <c r="K93" s="9">
        <v>0.28999999999999998</v>
      </c>
      <c r="L93" s="9">
        <f t="shared" si="3"/>
        <v>3.4482758620689657</v>
      </c>
    </row>
    <row r="94" spans="1:17">
      <c r="D94" s="12" t="s">
        <v>18</v>
      </c>
      <c r="E94" s="96">
        <v>0</v>
      </c>
      <c r="F94" s="96">
        <v>0</v>
      </c>
      <c r="G94" s="96">
        <v>0</v>
      </c>
      <c r="H94" s="96">
        <v>0</v>
      </c>
      <c r="I94" s="96">
        <v>0</v>
      </c>
      <c r="L94" s="9">
        <f t="shared" si="3"/>
        <v>0</v>
      </c>
    </row>
    <row r="95" spans="1:17">
      <c r="D95" s="12" t="s">
        <v>17</v>
      </c>
      <c r="E95" s="96">
        <v>0</v>
      </c>
      <c r="F95" s="96">
        <v>0</v>
      </c>
      <c r="G95" s="96">
        <v>0</v>
      </c>
      <c r="H95" s="96">
        <v>0</v>
      </c>
      <c r="I95" s="96">
        <v>0</v>
      </c>
      <c r="K95" s="9">
        <v>3</v>
      </c>
      <c r="L95" s="9">
        <f t="shared" si="3"/>
        <v>0.33333333333333331</v>
      </c>
    </row>
    <row r="96" spans="1:17">
      <c r="D96" s="12" t="s">
        <v>66</v>
      </c>
      <c r="E96" s="96">
        <v>0</v>
      </c>
      <c r="F96" s="96">
        <v>0</v>
      </c>
      <c r="G96" s="96">
        <v>0</v>
      </c>
      <c r="H96" s="96">
        <v>0</v>
      </c>
      <c r="I96" s="96">
        <v>0</v>
      </c>
      <c r="K96" s="9">
        <v>0.87</v>
      </c>
      <c r="L96" s="9">
        <f t="shared" si="3"/>
        <v>1.1494252873563218</v>
      </c>
    </row>
    <row r="97" spans="4:12">
      <c r="D97" s="12" t="s">
        <v>21</v>
      </c>
      <c r="E97" s="96">
        <v>0</v>
      </c>
      <c r="F97" s="96">
        <v>0</v>
      </c>
      <c r="G97" s="96">
        <v>0</v>
      </c>
      <c r="H97" s="96">
        <v>0</v>
      </c>
      <c r="I97" s="96">
        <v>0</v>
      </c>
      <c r="K97" s="9">
        <v>0.62</v>
      </c>
      <c r="L97" s="9">
        <f t="shared" si="3"/>
        <v>1.6129032258064517</v>
      </c>
    </row>
    <row r="98" spans="4:12">
      <c r="D98" s="12" t="s">
        <v>28</v>
      </c>
      <c r="E98" s="96">
        <v>0</v>
      </c>
      <c r="F98" s="96">
        <v>0</v>
      </c>
      <c r="G98" s="96">
        <v>0</v>
      </c>
      <c r="H98" s="96">
        <v>0</v>
      </c>
      <c r="I98" s="96">
        <v>0</v>
      </c>
      <c r="K98" s="9">
        <v>0.78</v>
      </c>
      <c r="L98" s="9">
        <f t="shared" si="3"/>
        <v>1.2820512820512819</v>
      </c>
    </row>
    <row r="99" spans="4:12">
      <c r="D99" s="12" t="s">
        <v>67</v>
      </c>
      <c r="E99" s="96">
        <v>0</v>
      </c>
      <c r="F99" s="96">
        <v>0</v>
      </c>
      <c r="G99" s="96">
        <v>0</v>
      </c>
      <c r="H99" s="96">
        <v>0</v>
      </c>
      <c r="I99" s="96">
        <v>0</v>
      </c>
      <c r="K99" s="9">
        <v>0.1</v>
      </c>
      <c r="L99" s="9">
        <f t="shared" si="3"/>
        <v>10</v>
      </c>
    </row>
    <row r="100" spans="4:12">
      <c r="D100" s="12" t="s">
        <v>68</v>
      </c>
      <c r="E100" s="96">
        <v>0</v>
      </c>
      <c r="F100" s="96">
        <v>0</v>
      </c>
      <c r="G100" s="96">
        <v>0</v>
      </c>
      <c r="H100" s="96">
        <v>0</v>
      </c>
      <c r="I100" s="96">
        <v>0</v>
      </c>
      <c r="K100" s="9">
        <v>1.28</v>
      </c>
      <c r="L100" s="9">
        <f t="shared" si="3"/>
        <v>0.78125</v>
      </c>
    </row>
    <row r="101" spans="4:12">
      <c r="D101" s="12" t="s">
        <v>69</v>
      </c>
      <c r="E101" s="96">
        <v>0</v>
      </c>
      <c r="F101" s="96">
        <v>0</v>
      </c>
      <c r="G101" s="96">
        <v>0</v>
      </c>
      <c r="H101" s="96">
        <v>0</v>
      </c>
      <c r="I101" s="96">
        <v>0</v>
      </c>
      <c r="K101" s="9">
        <v>0.21</v>
      </c>
      <c r="L101" s="9">
        <f t="shared" si="3"/>
        <v>4.7619047619047619</v>
      </c>
    </row>
    <row r="102" spans="4:12">
      <c r="D102" s="12" t="s">
        <v>70</v>
      </c>
      <c r="E102" s="96">
        <v>0</v>
      </c>
      <c r="F102" s="96">
        <v>0</v>
      </c>
      <c r="G102" s="96">
        <v>0</v>
      </c>
      <c r="H102" s="96">
        <v>0</v>
      </c>
      <c r="I102" s="96">
        <v>0</v>
      </c>
      <c r="K102" s="9">
        <v>0.14000000000000001</v>
      </c>
      <c r="L102" s="9">
        <f t="shared" si="3"/>
        <v>7.1428571428571423</v>
      </c>
    </row>
    <row r="103" spans="4:12">
      <c r="D103" s="12" t="s">
        <v>71</v>
      </c>
      <c r="E103" s="96">
        <v>0</v>
      </c>
      <c r="F103" s="96">
        <v>0</v>
      </c>
      <c r="G103" s="96">
        <v>0</v>
      </c>
      <c r="H103" s="96">
        <v>0</v>
      </c>
      <c r="I103" s="96">
        <v>0</v>
      </c>
      <c r="K103" s="9">
        <v>0.14000000000000001</v>
      </c>
      <c r="L103" s="9">
        <f t="shared" si="3"/>
        <v>7.1428571428571423</v>
      </c>
    </row>
    <row r="104" spans="4:12">
      <c r="D104" s="97" t="s">
        <v>72</v>
      </c>
      <c r="E104" s="96">
        <v>0</v>
      </c>
      <c r="F104" s="96">
        <v>0</v>
      </c>
      <c r="G104" s="96">
        <v>0</v>
      </c>
      <c r="H104" s="96">
        <v>0</v>
      </c>
      <c r="I104" s="96">
        <v>0</v>
      </c>
      <c r="K104" s="9">
        <v>1.4</v>
      </c>
      <c r="L104" s="9">
        <f t="shared" si="3"/>
        <v>0.7142857142857143</v>
      </c>
    </row>
    <row r="105" spans="4:12">
      <c r="D105" s="97" t="s">
        <v>23</v>
      </c>
      <c r="E105" s="96">
        <v>0</v>
      </c>
      <c r="F105" s="96">
        <v>0</v>
      </c>
      <c r="G105" s="96">
        <v>0</v>
      </c>
      <c r="H105" s="96">
        <v>0</v>
      </c>
      <c r="I105" s="96">
        <v>0</v>
      </c>
      <c r="K105" s="9">
        <v>0.99</v>
      </c>
      <c r="L105" s="9">
        <f t="shared" si="3"/>
        <v>1.0101010101010102</v>
      </c>
    </row>
    <row r="106" spans="4:12">
      <c r="D106" s="97" t="s">
        <v>24</v>
      </c>
      <c r="E106" s="96">
        <v>0</v>
      </c>
      <c r="F106" s="96">
        <v>0</v>
      </c>
      <c r="G106" s="96">
        <v>0</v>
      </c>
      <c r="H106" s="96">
        <v>0</v>
      </c>
      <c r="I106" s="96">
        <v>0</v>
      </c>
      <c r="K106" s="9">
        <v>53.5</v>
      </c>
      <c r="L106" s="9">
        <f t="shared" si="3"/>
        <v>1.8691588785046728E-2</v>
      </c>
    </row>
    <row r="107" spans="4:12">
      <c r="D107" s="97" t="s">
        <v>25</v>
      </c>
      <c r="E107" s="96">
        <v>0</v>
      </c>
      <c r="F107" s="96">
        <v>0</v>
      </c>
      <c r="G107" s="96">
        <v>0</v>
      </c>
      <c r="H107" s="96">
        <v>0</v>
      </c>
      <c r="I107" s="96">
        <v>0</v>
      </c>
      <c r="K107" s="9">
        <v>0.14000000000000001</v>
      </c>
      <c r="L107" s="9">
        <f t="shared" si="3"/>
        <v>7.1428571428571423</v>
      </c>
    </row>
    <row r="108" spans="4:12">
      <c r="D108" s="97" t="s">
        <v>26</v>
      </c>
      <c r="E108" s="96">
        <v>0</v>
      </c>
      <c r="F108" s="96">
        <v>0</v>
      </c>
      <c r="G108" s="96">
        <v>0</v>
      </c>
      <c r="H108" s="96">
        <v>0</v>
      </c>
      <c r="I108" s="96">
        <v>0</v>
      </c>
      <c r="K108" s="9">
        <v>0.14000000000000001</v>
      </c>
      <c r="L108" s="9">
        <f t="shared" si="3"/>
        <v>7.1428571428571423</v>
      </c>
    </row>
    <row r="109" spans="4:12">
      <c r="D109" s="97" t="s">
        <v>27</v>
      </c>
      <c r="E109" s="96">
        <v>0</v>
      </c>
      <c r="F109" s="96">
        <v>0</v>
      </c>
      <c r="G109" s="96">
        <v>0</v>
      </c>
      <c r="H109" s="96">
        <v>0</v>
      </c>
      <c r="I109" s="96">
        <v>0</v>
      </c>
      <c r="K109" s="9">
        <v>0.19</v>
      </c>
      <c r="L109" s="9">
        <f t="shared" si="3"/>
        <v>5.2631578947368425</v>
      </c>
    </row>
    <row r="110" spans="4:12">
      <c r="D110" s="97" t="s">
        <v>74</v>
      </c>
      <c r="E110" s="96">
        <v>0</v>
      </c>
      <c r="F110" s="96">
        <v>0</v>
      </c>
      <c r="G110" s="96">
        <v>0</v>
      </c>
      <c r="H110" s="96">
        <v>0</v>
      </c>
      <c r="I110" s="96">
        <v>0</v>
      </c>
      <c r="K110" s="9">
        <v>0.21</v>
      </c>
      <c r="L110" s="9">
        <f t="shared" si="3"/>
        <v>4.7619047619047619</v>
      </c>
    </row>
    <row r="111" spans="4:12">
      <c r="D111" s="97" t="s">
        <v>78</v>
      </c>
      <c r="E111" s="96">
        <v>0</v>
      </c>
      <c r="F111" s="96">
        <v>0</v>
      </c>
      <c r="G111" s="96">
        <v>0</v>
      </c>
      <c r="H111" s="96">
        <v>0</v>
      </c>
      <c r="I111" s="96">
        <v>0</v>
      </c>
      <c r="K111" s="9">
        <v>4.1000000000000002E-2</v>
      </c>
      <c r="L111" s="9">
        <f t="shared" si="3"/>
        <v>24.390243902439025</v>
      </c>
    </row>
    <row r="112" spans="4:12">
      <c r="D112" s="97" t="s">
        <v>79</v>
      </c>
      <c r="E112" s="96">
        <v>0</v>
      </c>
      <c r="F112" s="96">
        <v>0</v>
      </c>
      <c r="G112" s="96">
        <v>0</v>
      </c>
      <c r="H112" s="96">
        <v>0</v>
      </c>
      <c r="I112" s="96">
        <v>0</v>
      </c>
      <c r="K112" s="9">
        <v>3.5999999999999997E-2</v>
      </c>
      <c r="L112" s="9">
        <f t="shared" si="3"/>
        <v>27.777777777777779</v>
      </c>
    </row>
    <row r="113" spans="1:16">
      <c r="D113" s="97" t="s">
        <v>80</v>
      </c>
      <c r="E113" s="96">
        <v>0</v>
      </c>
      <c r="F113" s="96">
        <v>0</v>
      </c>
      <c r="G113" s="96">
        <v>0</v>
      </c>
      <c r="H113" s="96">
        <v>0</v>
      </c>
      <c r="I113" s="96">
        <v>0</v>
      </c>
      <c r="K113" s="9">
        <v>4.1000000000000002E-2</v>
      </c>
      <c r="L113" s="9">
        <f t="shared" si="3"/>
        <v>24.390243902439025</v>
      </c>
    </row>
    <row r="114" spans="1:16">
      <c r="D114" s="12" t="s">
        <v>20</v>
      </c>
      <c r="E114" s="96">
        <v>0</v>
      </c>
      <c r="F114" s="96">
        <v>0</v>
      </c>
      <c r="G114" s="96">
        <v>0</v>
      </c>
      <c r="H114" s="96">
        <v>0</v>
      </c>
      <c r="I114" s="96">
        <v>0</v>
      </c>
      <c r="L114" s="9">
        <f t="shared" si="3"/>
        <v>0</v>
      </c>
    </row>
    <row r="115" spans="1:16">
      <c r="D115" s="12" t="s">
        <v>20</v>
      </c>
      <c r="E115" s="96">
        <v>0</v>
      </c>
      <c r="F115" s="96">
        <v>0</v>
      </c>
      <c r="G115" s="96">
        <v>0</v>
      </c>
      <c r="H115" s="96">
        <v>0</v>
      </c>
      <c r="I115" s="96">
        <v>0</v>
      </c>
      <c r="L115" s="9">
        <f t="shared" si="3"/>
        <v>0</v>
      </c>
    </row>
    <row r="116" spans="1:16" ht="31.2" customHeight="1">
      <c r="A116" s="596" t="s">
        <v>73</v>
      </c>
      <c r="B116" s="596"/>
      <c r="C116" s="596"/>
      <c r="D116" s="615"/>
      <c r="E116" s="98" t="str">
        <f>IF(E86='ENERGETSKI KALKULATOR'!$D$24,IF('ENERGETSKI KALKULATOR'!$D$25="","",'ENERGETSKI KALKULATOR'!$D$25),"")</f>
        <v/>
      </c>
      <c r="F116" s="98" t="str">
        <f>IF(F86='ENERGETSKI KALKULATOR'!$D$24,IF('ENERGETSKI KALKULATOR'!$D$25="","",'ENERGETSKI KALKULATOR'!$D$25),"")</f>
        <v/>
      </c>
      <c r="G116" s="98" t="str">
        <f>IF(G86='ENERGETSKI KALKULATOR'!$D$24,IF('ENERGETSKI KALKULATOR'!$D$25="","",'ENERGETSKI KALKULATOR'!$D$25),"")</f>
        <v/>
      </c>
      <c r="H116" s="98" t="str">
        <f>IF(H86='ENERGETSKI KALKULATOR'!$D$24,IF('ENERGETSKI KALKULATOR'!$D$25="","",'ENERGETSKI KALKULATOR'!$D$25),"")</f>
        <v/>
      </c>
      <c r="I116" s="98">
        <f>IF(I86='ENERGETSKI KALKULATOR'!$D$24,IF('ENERGETSKI KALKULATOR'!$D$25="","",'ENERGETSKI KALKULATOR'!$D$25),"")</f>
        <v>30</v>
      </c>
      <c r="K116" s="9">
        <v>0.55000000000000004</v>
      </c>
      <c r="L116" s="9">
        <f t="shared" si="3"/>
        <v>1.8181818181818181</v>
      </c>
    </row>
    <row r="117" spans="1:16" ht="15" thickBot="1">
      <c r="A117" s="99"/>
      <c r="B117" s="99"/>
      <c r="C117" s="99"/>
      <c r="D117" s="99"/>
      <c r="E117" s="100" t="str">
        <f>IF(   $K$15,   IF(   E116=0,   IF(   SUM(E87:E115)=0,   "УНОС ДЕБЉИНЕ",   ""   ),   IF(   SUM(E87:E115)&lt;&gt;0,   "ПРОВЕРА УНОСА",  ""   )   ),   ""   )</f>
        <v/>
      </c>
      <c r="F117" s="100" t="str">
        <f>IF(   $K$15,   IF(   F116=0,   IF(   SUM(F87:F115)=0,   "УНОС ДЕБЉИНЕ",   ""   ),   IF(   SUM(F87:F115)&lt;&gt;0,   "ПРОВЕРА УНОСА",  ""   )   ),   ""   )</f>
        <v/>
      </c>
      <c r="G117" s="100" t="str">
        <f>IF(   $K$16,   IF(   G116=0,   IF(   SUM(G87:G115)=0,   "УНОС ДЕБЉИНЕ",   ""   ),   IF(   SUM(G87:G115)&lt;&gt;0,   "ПРОВЕРА УНОСА",  ""   )   ),   ""   )</f>
        <v/>
      </c>
      <c r="H117" s="100" t="str">
        <f>IF(   $K$16,   IF(   H116=0,   IF(   SUM(H87:H115)=0,   "УНОС ДЕБЉИНЕ",   ""   ),   IF(   SUM(H87:H115)&lt;&gt;0,   "ПРОВЕРА УНОСА",  ""   )   ),   ""   )</f>
        <v/>
      </c>
      <c r="I117" s="100" t="str">
        <f>IF(   $K$16,   IF(   I116=0,   IF(   SUM(I87:I115)=0,   "УНОС ДЕБЉИНЕ",   ""   ),   IF(   SUM(I87:I115)&lt;&gt;0,   "ПРОВЕРА УНОСА",  ""   )   ),   ""   )</f>
        <v/>
      </c>
    </row>
    <row r="118" spans="1:16" ht="15" thickBot="1">
      <c r="A118" s="53"/>
      <c r="B118" s="14"/>
      <c r="C118" s="54"/>
      <c r="D118" s="14" t="s">
        <v>395</v>
      </c>
      <c r="E118" s="101">
        <f>IF(E$86='ENERGETSKI KALKULATOR'!$D$24,'ENERGETSKI KALKULATOR'!$D23,0)</f>
        <v>0</v>
      </c>
      <c r="F118" s="101">
        <f>IF(F$86='ENERGETSKI KALKULATOR'!$D$24,'ENERGETSKI KALKULATOR'!$D23,0)</f>
        <v>0</v>
      </c>
      <c r="G118" s="101">
        <f>IF(G$86='ENERGETSKI KALKULATOR'!$D$24,'ENERGETSKI KALKULATOR'!$D23,0)</f>
        <v>0</v>
      </c>
      <c r="H118" s="101">
        <f>IF(H$86='ENERGETSKI KALKULATOR'!$D$24,'ENERGETSKI KALKULATOR'!$D23,0)</f>
        <v>0</v>
      </c>
      <c r="I118" s="101">
        <f>IF(I$86='ENERGETSKI KALKULATOR'!$D$24,'ENERGETSKI KALKULATOR'!$D23,0)</f>
        <v>550000</v>
      </c>
      <c r="J118" s="53"/>
      <c r="M118" s="17" t="str">
        <f>IF($K$15,IF(SUM(E118:G118)=0,"ВРЕДНОСТ ИНВЕСТИЦИЈЕ ?",""),"")</f>
        <v/>
      </c>
      <c r="P118" s="17" t="str">
        <f>IF($K$16,IF(SUM(H118:I118)=0,"ВРЕДНОСТ ИНВЕСТИЦИЈЕ ?",""),"")</f>
        <v/>
      </c>
    </row>
    <row r="119" spans="1:16" ht="16.8" thickBot="1">
      <c r="A119" s="53"/>
      <c r="B119" s="14"/>
      <c r="C119" s="54"/>
      <c r="D119" s="14" t="s">
        <v>492</v>
      </c>
      <c r="E119" s="101">
        <f>IF(E$86='ENERGETSKI KALKULATOR'!$D$24,'ENERGETSKI KALKULATOR'!$I23,0)</f>
        <v>0</v>
      </c>
      <c r="F119" s="101">
        <f>IF(F$86='ENERGETSKI KALKULATOR'!$D$24,'ENERGETSKI KALKULATOR'!$I23,0)</f>
        <v>0</v>
      </c>
      <c r="G119" s="101">
        <f>IF(G$86='ENERGETSKI KALKULATOR'!$D$24,'ENERGETSKI KALKULATOR'!$I23,0)</f>
        <v>0</v>
      </c>
      <c r="H119" s="101">
        <f>IF(H$86='ENERGETSKI KALKULATOR'!$D$24,'ENERGETSKI KALKULATOR'!$I23,0)</f>
        <v>0</v>
      </c>
      <c r="I119" s="101">
        <f>IF(I$86='ENERGETSKI KALKULATOR'!$D$24,'ENERGETSKI KALKULATOR'!$I23,0)</f>
        <v>90</v>
      </c>
      <c r="J119" s="53"/>
      <c r="K119" s="311"/>
      <c r="M119" s="17" t="str">
        <f>IF($K$15,IF(SUM(E119:G119)=0,"ПОВРШИНА ?",""),"")</f>
        <v/>
      </c>
      <c r="P119" s="17" t="str">
        <f>IF($K$16,IF(SUM(H119:I119)=0,"ПОВРШИНА ?",""),"")</f>
        <v/>
      </c>
    </row>
    <row r="120" spans="1:16" ht="15" thickBot="1">
      <c r="A120" s="53"/>
      <c r="B120" s="14"/>
      <c r="C120" s="54"/>
      <c r="D120" s="14" t="s">
        <v>393</v>
      </c>
      <c r="E120" s="101" t="str">
        <f>IF(E$86='ENERGETSKI KALKULATOR'!$D$24,'ENERGETSKI KALKULATOR'!$I24,"")</f>
        <v/>
      </c>
      <c r="F120" s="101" t="str">
        <f>IF(F$86='ENERGETSKI KALKULATOR'!$D$24,'ENERGETSKI KALKULATOR'!$I24,"")</f>
        <v/>
      </c>
      <c r="G120" s="101" t="str">
        <f>IF(G$86='ENERGETSKI KALKULATOR'!$D$24,'ENERGETSKI KALKULATOR'!$I24,"")</f>
        <v/>
      </c>
      <c r="H120" s="101" t="str">
        <f>IF(H$86='ENERGETSKI KALKULATOR'!$D$24,'ENERGETSKI KALKULATOR'!$I24,"")</f>
        <v/>
      </c>
      <c r="I120" s="101">
        <f>IF(I$86='ENERGETSKI KALKULATOR'!$D$24,'ENERGETSKI KALKULATOR'!$I24,"")</f>
        <v>10</v>
      </c>
      <c r="J120" s="53"/>
      <c r="M120" s="17" t="str">
        <f>IF($K$15,IF(SUM(E120:G120)=0,"ДЕБЉИНА ИЗОЛАЦИЈЕ ?",""),"")</f>
        <v/>
      </c>
      <c r="P120" s="17" t="str">
        <f>IF($K$16,IF(SUM(H120:I120)=0,"ДЕБЉИНА ИЗОЛАЦИЈЕ ?",""),"")</f>
        <v/>
      </c>
    </row>
    <row r="121" spans="1:16" ht="15" thickBot="1">
      <c r="A121" s="53"/>
      <c r="B121" s="14"/>
      <c r="C121" s="54"/>
      <c r="D121" s="102" t="s">
        <v>436</v>
      </c>
      <c r="E121" s="101" t="str">
        <f>IF(E$86='ENERGETSKI KALKULATOR'!$D$24,'ENERGETSKI KALKULATOR'!$I25,"")</f>
        <v/>
      </c>
      <c r="F121" s="101" t="str">
        <f>IF(F$86='ENERGETSKI KALKULATOR'!$D$24,'ENERGETSKI KALKULATOR'!$I25,"")</f>
        <v/>
      </c>
      <c r="G121" s="101" t="str">
        <f>IF(G$86='ENERGETSKI KALKULATOR'!$D$24,'ENERGETSKI KALKULATOR'!$I25,"")</f>
        <v/>
      </c>
      <c r="H121" s="101" t="str">
        <f>IF(H$86='ENERGETSKI KALKULATOR'!$D$24,'ENERGETSKI KALKULATOR'!$I25,"")</f>
        <v/>
      </c>
      <c r="I121" s="101">
        <f>IF(I$86='ENERGETSKI KALKULATOR'!$D$24,'ENERGETSKI KALKULATOR'!$I25,"")</f>
        <v>4.1000000000000002E-2</v>
      </c>
      <c r="J121" s="53"/>
      <c r="M121" s="17" t="str">
        <f>IF($K$15,IF(SUM(E121:G121)=0,"КОЕФИЦИЈЕНТ ПРОВОЂЕЊА ТОПЛОТЕ ?",""),"")</f>
        <v/>
      </c>
      <c r="P121" s="17" t="str">
        <f>IF($K$16,IF(SUM(H121:I121)=0,"КОЕФИЦИЈЕНТ ПРОВОЂЕЊА ТОПЛОТЕ ?",""),"")</f>
        <v/>
      </c>
    </row>
    <row r="122" spans="1:16">
      <c r="A122" s="53"/>
      <c r="B122" s="14"/>
      <c r="C122" s="54"/>
      <c r="D122" s="14" t="s">
        <v>34</v>
      </c>
      <c r="E122" s="103"/>
      <c r="F122" s="103"/>
      <c r="G122" s="103"/>
      <c r="H122" s="103"/>
      <c r="I122" s="103"/>
      <c r="J122" s="53"/>
      <c r="K122" s="616" t="s">
        <v>511</v>
      </c>
      <c r="L122" s="617"/>
    </row>
    <row r="123" spans="1:16" ht="15" thickBot="1">
      <c r="A123" s="53"/>
      <c r="B123" s="14"/>
      <c r="C123" s="54"/>
      <c r="D123" s="14" t="s">
        <v>35</v>
      </c>
      <c r="E123" s="103"/>
      <c r="F123" s="103"/>
      <c r="G123" s="103"/>
      <c r="H123" s="103"/>
      <c r="I123" s="103"/>
      <c r="J123" s="53"/>
      <c r="K123" s="104" t="s">
        <v>512</v>
      </c>
      <c r="L123" s="105" t="s">
        <v>355</v>
      </c>
    </row>
    <row r="124" spans="1:16" ht="21.6" thickBot="1">
      <c r="A124" s="81" t="s">
        <v>740</v>
      </c>
      <c r="B124" s="82">
        <f>KALKULATOR!$X$60</f>
        <v>80000.000000000015</v>
      </c>
      <c r="C124" s="83"/>
      <c r="D124" s="84"/>
      <c r="E124" s="84" t="s">
        <v>741</v>
      </c>
      <c r="F124" s="85">
        <f>USTEDA!E15+USTEDA!F15</f>
        <v>22083.39266912852</v>
      </c>
      <c r="G124" s="86"/>
      <c r="H124" s="86"/>
      <c r="I124" s="87" t="s">
        <v>742</v>
      </c>
      <c r="J124" s="88">
        <f>SUM(E118:I118)/F124</f>
        <v>24.905593458421475</v>
      </c>
      <c r="K124" s="106">
        <f>IF(E119="",0,E118)+IF(F119="",0,F118)+IF(G119="",0,G118)</f>
        <v>0</v>
      </c>
      <c r="L124" s="107">
        <f>IF(H119="",0,H118)+IF(I119="",0,I118)</f>
        <v>550000</v>
      </c>
    </row>
    <row r="125" spans="1:16">
      <c r="A125" s="55">
        <v>3</v>
      </c>
      <c r="B125" s="56" t="s">
        <v>76</v>
      </c>
    </row>
    <row r="126" spans="1:16" ht="15" thickBot="1">
      <c r="A126" s="55"/>
      <c r="B126" s="56" t="s">
        <v>77</v>
      </c>
    </row>
    <row r="127" spans="1:16" ht="15" thickBot="1">
      <c r="A127" s="53"/>
      <c r="B127" s="14" t="s">
        <v>395</v>
      </c>
      <c r="C127" s="63">
        <f>'ENERGETSKI KALKULATOR'!$D$30</f>
        <v>250000</v>
      </c>
      <c r="D127" s="53"/>
      <c r="E127" s="53"/>
      <c r="F127" s="53"/>
      <c r="G127" s="53"/>
      <c r="H127" s="53"/>
      <c r="I127" s="53"/>
      <c r="J127" s="53"/>
      <c r="M127" s="17" t="str">
        <f>IF(OR($K$17,$K$18,$K$19),IF(C127=0,"ВРЕДНОСТ ИНВЕСТИЦИЈЕ ?",""),"")</f>
        <v/>
      </c>
    </row>
    <row r="128" spans="1:16">
      <c r="A128" s="53"/>
      <c r="B128" s="68" t="s">
        <v>38</v>
      </c>
      <c r="C128" s="53"/>
      <c r="D128" s="53"/>
      <c r="E128" s="53"/>
      <c r="F128" s="53"/>
      <c r="G128" s="53"/>
      <c r="H128" s="53"/>
      <c r="I128" s="53"/>
      <c r="J128" s="53"/>
    </row>
    <row r="129" spans="1:16">
      <c r="A129" s="53"/>
      <c r="B129" s="14" t="s">
        <v>34</v>
      </c>
      <c r="C129" s="108"/>
      <c r="D129" s="109"/>
      <c r="E129" s="53"/>
      <c r="F129" s="53"/>
      <c r="G129" s="53"/>
      <c r="H129" s="53"/>
      <c r="I129" s="53"/>
      <c r="J129" s="53"/>
    </row>
    <row r="130" spans="1:16" ht="15" thickBot="1">
      <c r="A130" s="53"/>
      <c r="B130" s="14" t="s">
        <v>35</v>
      </c>
      <c r="C130" s="108"/>
      <c r="D130" s="110"/>
      <c r="E130" s="53"/>
      <c r="F130" s="53"/>
      <c r="G130" s="53"/>
      <c r="H130" s="53"/>
      <c r="I130" s="53"/>
      <c r="J130" s="53"/>
      <c r="P130" s="9" t="s">
        <v>547</v>
      </c>
    </row>
    <row r="131" spans="1:16" ht="15" thickBot="1">
      <c r="A131" s="53"/>
      <c r="B131" s="14" t="s">
        <v>36</v>
      </c>
      <c r="C131" s="111">
        <v>16</v>
      </c>
      <c r="D131" s="54" t="s">
        <v>1</v>
      </c>
      <c r="E131" s="53"/>
      <c r="F131" s="53"/>
      <c r="G131" s="53"/>
      <c r="H131" s="53"/>
      <c r="I131" s="53"/>
      <c r="J131" s="53"/>
      <c r="M131" s="17" t="str">
        <f>IF(OR($K$17,$K$18,$K$19),IF(C131=0,"СНАГА ТОПЛОТНОГ ИЗВОРА ?",""),"")</f>
        <v/>
      </c>
      <c r="P131" s="112" t="s">
        <v>548</v>
      </c>
    </row>
    <row r="132" spans="1:16" ht="15" thickBot="1">
      <c r="A132" s="53"/>
      <c r="B132" s="14" t="s">
        <v>37</v>
      </c>
      <c r="C132" s="113">
        <f>IF(C133="",'ENERGETSKI KALKULATOR'!I30,"")</f>
        <v>0.85</v>
      </c>
      <c r="D132" s="54" t="s">
        <v>81</v>
      </c>
      <c r="E132" s="53"/>
      <c r="F132" s="53"/>
      <c r="G132" s="53"/>
      <c r="H132" s="53"/>
      <c r="I132" s="53"/>
      <c r="J132" s="53"/>
      <c r="M132" s="17" t="str">
        <f>IF(OR($K$17,$K$18),IF(C132=0,"СТЕПЕН КОРИСНОСТИ ТОПЛОТНОГ ИЗВОРА ?",""),"")</f>
        <v/>
      </c>
      <c r="P132" s="112" t="s">
        <v>549</v>
      </c>
    </row>
    <row r="133" spans="1:16" ht="15" thickBot="1">
      <c r="A133" s="53"/>
      <c r="B133" s="14" t="s">
        <v>546</v>
      </c>
      <c r="C133" s="111" t="str">
        <f>IF('ENERGETSKI KALKULATOR'!D31='ENERGETSKI KALKULATOR'!AA46,'ENERGETSKI KALKULATOR'!I30,"")</f>
        <v/>
      </c>
      <c r="D133" s="54"/>
      <c r="E133" s="53"/>
      <c r="F133" s="53"/>
      <c r="G133" s="53"/>
      <c r="H133" s="53"/>
      <c r="I133" s="53"/>
      <c r="J133" s="53"/>
      <c r="M133" s="17" t="str">
        <f>IF($K$19,IF(C133=0,"КОЕФИЦИЈЕНТ ГРЕЈАЊА ТОПЛОТНЕ ПУМПЕ ?",""),"")</f>
        <v/>
      </c>
      <c r="P133" s="112" t="s">
        <v>550</v>
      </c>
    </row>
    <row r="134" spans="1:16" ht="15" thickBot="1">
      <c r="A134" s="53"/>
      <c r="B134" s="14" t="s">
        <v>547</v>
      </c>
      <c r="C134" s="114"/>
      <c r="D134" s="54"/>
      <c r="E134" s="53"/>
      <c r="F134" s="53"/>
      <c r="G134" s="53"/>
      <c r="H134" s="53"/>
      <c r="I134" s="53"/>
      <c r="J134" s="53"/>
      <c r="M134" s="17" t="str">
        <f>IF($K$19,IF(C134=0,"ТИП ТОПЛОТНЕ ПУМПЕ ?",""),"")</f>
        <v/>
      </c>
      <c r="P134" s="112" t="s">
        <v>551</v>
      </c>
    </row>
    <row r="135" spans="1:16" ht="28.95" customHeight="1">
      <c r="A135" s="55">
        <v>4</v>
      </c>
      <c r="B135" s="56" t="s">
        <v>39</v>
      </c>
    </row>
    <row r="136" spans="1:16">
      <c r="B136" s="21" t="s">
        <v>49</v>
      </c>
    </row>
    <row r="137" spans="1:16">
      <c r="A137" s="12"/>
      <c r="B137" s="9" t="s">
        <v>50</v>
      </c>
      <c r="C137" s="9" t="str">
        <f>IF(K138,"нема инсталације",IF(K139,"двоцевно",IF(K140,"једноцевно",IF(K141,"подно",""))))</f>
        <v>двоцевно</v>
      </c>
      <c r="K137" s="112" t="str">
        <f>IF(K138,"нема инсталације",IF(K139,"двоцевно",IF(K140,"једноцевно",IF(K141,"подно",""))))</f>
        <v>двоцевно</v>
      </c>
    </row>
    <row r="138" spans="1:16">
      <c r="B138" s="115"/>
      <c r="C138" s="116" t="s">
        <v>743</v>
      </c>
      <c r="K138" s="9" t="b">
        <v>0</v>
      </c>
    </row>
    <row r="139" spans="1:16">
      <c r="B139" s="115"/>
      <c r="C139" s="9" t="s">
        <v>41</v>
      </c>
      <c r="K139" s="9" t="b">
        <v>1</v>
      </c>
    </row>
    <row r="140" spans="1:16">
      <c r="B140" s="115"/>
      <c r="C140" s="9" t="s">
        <v>42</v>
      </c>
      <c r="K140" s="9" t="b">
        <v>0</v>
      </c>
    </row>
    <row r="141" spans="1:16">
      <c r="B141" s="115"/>
      <c r="C141" s="9" t="s">
        <v>40</v>
      </c>
      <c r="K141" s="9" t="b">
        <v>0</v>
      </c>
    </row>
    <row r="142" spans="1:16">
      <c r="B142" s="117" t="s">
        <v>504</v>
      </c>
      <c r="I142" s="22"/>
      <c r="J142" s="22"/>
      <c r="K142" s="9" t="b">
        <f>IF('ENERGETSKI KALKULATOR'!$I$31="ДА",TRUE,FALSE)</f>
        <v>0</v>
      </c>
    </row>
    <row r="143" spans="1:16">
      <c r="A143" s="12"/>
      <c r="K143" s="9" t="b">
        <f>IF('ENERGETSKI KALKULATOR'!$I$31="НЕ",TRUE,FALSE)</f>
        <v>1</v>
      </c>
    </row>
    <row r="144" spans="1:16">
      <c r="B144" s="9" t="s">
        <v>507</v>
      </c>
      <c r="K144" s="112" t="str">
        <f>IF(K145,"нема регулације",IF(K146,"аутоматска централна",IF(K147,"аутоматска локална","")))</f>
        <v>аутоматска централна</v>
      </c>
    </row>
    <row r="145" spans="1:13">
      <c r="B145" s="115"/>
      <c r="C145" s="9" t="s">
        <v>553</v>
      </c>
      <c r="K145" s="9" t="b">
        <f>IF('ENERGETSKI KALKULATOR'!D11='ENERGETSKI KALKULATOR'!AH50,IF(K57,TRUE,FALSE))</f>
        <v>0</v>
      </c>
    </row>
    <row r="146" spans="1:13">
      <c r="B146" s="115"/>
      <c r="C146" s="9" t="s">
        <v>555</v>
      </c>
      <c r="K146" s="9" t="b">
        <f>IF(K145,FALSE,IF(K147,FALSE,TRUE))</f>
        <v>1</v>
      </c>
    </row>
    <row r="147" spans="1:13">
      <c r="B147" s="115"/>
      <c r="C147" s="9" t="s">
        <v>554</v>
      </c>
      <c r="K147" s="9" t="b">
        <f>IF('ENERGETSKI KALKULATOR'!D11='ENERGETSKI KALKULATOR'!AH51,TRUE,FALSE)</f>
        <v>0</v>
      </c>
    </row>
    <row r="148" spans="1:13" ht="15" thickBot="1">
      <c r="A148" s="53"/>
      <c r="B148" s="68" t="s">
        <v>503</v>
      </c>
      <c r="C148" s="54"/>
      <c r="D148" s="54"/>
      <c r="E148" s="53"/>
      <c r="F148" s="53"/>
      <c r="G148" s="53"/>
      <c r="H148" s="53"/>
      <c r="I148" s="53"/>
      <c r="J148" s="53"/>
    </row>
    <row r="149" spans="1:13" ht="15" thickBot="1">
      <c r="A149" s="12"/>
      <c r="B149" s="14" t="s">
        <v>395</v>
      </c>
      <c r="C149" s="12"/>
      <c r="D149" s="12"/>
      <c r="E149" s="12"/>
      <c r="F149" s="12"/>
      <c r="G149" s="12"/>
      <c r="H149" s="12"/>
      <c r="I149" s="12"/>
      <c r="J149" s="12"/>
      <c r="M149" s="17" t="str">
        <f>IF($K$20,IF(C149=0,"ВРЕДНОСТ ИНВЕСТИЦИЈЕ ?",""),"")</f>
        <v>ВРЕДНОСТ ИНВЕСТИЦИЈЕ ?</v>
      </c>
    </row>
    <row r="150" spans="1:13">
      <c r="A150" s="53"/>
      <c r="B150" s="54" t="s">
        <v>50</v>
      </c>
      <c r="C150" s="54"/>
      <c r="D150" s="54"/>
      <c r="E150" s="53"/>
      <c r="F150" s="53"/>
      <c r="G150" s="53"/>
      <c r="H150" s="53"/>
      <c r="I150" s="53"/>
      <c r="J150" s="53"/>
      <c r="K150" s="112" t="str">
        <f>IF(K151,"двоцевно",IF(K152,"једноцевно",IF(K153,"подно","")))</f>
        <v/>
      </c>
    </row>
    <row r="151" spans="1:13">
      <c r="A151" s="53"/>
      <c r="B151" s="115"/>
      <c r="C151" s="54" t="s">
        <v>41</v>
      </c>
      <c r="D151" s="54"/>
      <c r="E151" s="53"/>
      <c r="F151" s="53"/>
      <c r="G151" s="53"/>
      <c r="H151" s="53"/>
      <c r="I151" s="53"/>
      <c r="J151" s="53"/>
      <c r="K151" s="9" t="b">
        <v>0</v>
      </c>
    </row>
    <row r="152" spans="1:13">
      <c r="A152" s="53"/>
      <c r="B152" s="115"/>
      <c r="C152" s="54" t="s">
        <v>42</v>
      </c>
      <c r="D152" s="54"/>
      <c r="E152" s="53"/>
      <c r="F152" s="53"/>
      <c r="G152" s="53"/>
      <c r="H152" s="53"/>
      <c r="I152" s="53"/>
      <c r="J152" s="53"/>
      <c r="K152" s="9" t="b">
        <v>0</v>
      </c>
    </row>
    <row r="153" spans="1:13">
      <c r="A153" s="53"/>
      <c r="B153" s="115"/>
      <c r="C153" s="54" t="s">
        <v>40</v>
      </c>
      <c r="D153" s="54"/>
      <c r="E153" s="53"/>
      <c r="F153" s="53"/>
      <c r="G153" s="53"/>
      <c r="H153" s="53"/>
      <c r="I153" s="53"/>
      <c r="J153" s="53"/>
      <c r="K153" s="9" t="b">
        <v>0</v>
      </c>
    </row>
    <row r="154" spans="1:13">
      <c r="A154" s="53"/>
      <c r="B154" s="54" t="s">
        <v>504</v>
      </c>
      <c r="C154" s="54"/>
      <c r="D154" s="54"/>
      <c r="E154" s="53"/>
      <c r="F154" s="53"/>
      <c r="G154" s="53"/>
      <c r="H154" s="53"/>
      <c r="I154" s="22"/>
      <c r="J154" s="22"/>
      <c r="K154" s="9" t="b">
        <v>1</v>
      </c>
    </row>
    <row r="155" spans="1:13">
      <c r="A155" s="53"/>
      <c r="B155" s="54" t="s">
        <v>507</v>
      </c>
      <c r="C155" s="54"/>
      <c r="D155" s="54"/>
      <c r="E155" s="53"/>
      <c r="F155" s="53"/>
      <c r="G155" s="53"/>
      <c r="H155" s="53"/>
      <c r="I155" s="53"/>
      <c r="J155" s="53"/>
      <c r="K155" s="9" t="b">
        <v>0</v>
      </c>
    </row>
    <row r="156" spans="1:13" hidden="1">
      <c r="A156" s="53"/>
      <c r="B156" s="53"/>
      <c r="C156" s="54"/>
      <c r="D156" s="53"/>
      <c r="E156" s="53"/>
      <c r="F156" s="53"/>
      <c r="G156" s="53"/>
      <c r="H156" s="53"/>
      <c r="I156" s="53"/>
      <c r="J156" s="53"/>
    </row>
    <row r="157" spans="1:13">
      <c r="A157" s="53"/>
      <c r="B157" s="54"/>
      <c r="C157" s="54"/>
      <c r="D157" s="54"/>
      <c r="E157" s="53"/>
      <c r="F157" s="53"/>
      <c r="G157" s="53"/>
      <c r="H157" s="53"/>
      <c r="I157" s="53"/>
      <c r="J157" s="53"/>
      <c r="K157" s="112" t="str">
        <f>IF(K158,"аутоматска централна",IF(K159,"аутоматска локална",""))</f>
        <v>аутоматска локална</v>
      </c>
    </row>
    <row r="158" spans="1:13">
      <c r="A158" s="53"/>
      <c r="B158" s="115"/>
      <c r="C158" s="53" t="s">
        <v>555</v>
      </c>
      <c r="D158" s="53"/>
      <c r="E158" s="53"/>
      <c r="F158" s="53"/>
      <c r="G158" s="53"/>
      <c r="H158" s="53"/>
      <c r="I158" s="53"/>
      <c r="J158" s="53"/>
      <c r="K158" s="9" t="b">
        <f>IF(K159,FALSE,TRUE)</f>
        <v>0</v>
      </c>
    </row>
    <row r="159" spans="1:13" ht="15" thickBot="1">
      <c r="A159" s="53"/>
      <c r="B159" s="22"/>
      <c r="C159" s="53" t="s">
        <v>554</v>
      </c>
      <c r="D159" s="53"/>
      <c r="E159" s="53"/>
      <c r="F159" s="53"/>
      <c r="G159" s="53"/>
      <c r="H159" s="53"/>
      <c r="I159" s="53"/>
      <c r="J159" s="53"/>
      <c r="K159" s="9" t="b">
        <f>IF('ENERGETSKI KALKULATOR'!I33='ENERGETSKI KALKULATOR'!X24,TRUE,K147)</f>
        <v>1</v>
      </c>
    </row>
    <row r="160" spans="1:13" ht="21.6" thickBot="1">
      <c r="A160" s="81" t="s">
        <v>740</v>
      </c>
      <c r="B160" s="82">
        <f>KALKULATOR!B243</f>
        <v>37430.823909915693</v>
      </c>
      <c r="C160" s="83"/>
      <c r="D160" s="84"/>
      <c r="E160" s="84" t="s">
        <v>741</v>
      </c>
      <c r="F160" s="85">
        <f>IF(C127=0,0,USTEDA!G15+USTEDA!H15+USTEDA!I15+USTEDA!J15)</f>
        <v>-15328.487672940973</v>
      </c>
      <c r="G160" s="86"/>
      <c r="H160" s="86"/>
      <c r="I160" s="87" t="s">
        <v>742</v>
      </c>
      <c r="J160" s="88">
        <f>C127/F160</f>
        <v>-16.309501976592202</v>
      </c>
    </row>
    <row r="161" spans="1:13">
      <c r="A161" s="55">
        <v>5</v>
      </c>
      <c r="B161" s="56" t="s">
        <v>43</v>
      </c>
    </row>
    <row r="162" spans="1:13" ht="15" thickBot="1">
      <c r="B162" s="9" t="s">
        <v>44</v>
      </c>
    </row>
    <row r="163" spans="1:13" ht="15" thickBot="1">
      <c r="B163" s="22"/>
      <c r="C163" s="9" t="s">
        <v>30</v>
      </c>
      <c r="K163" s="9" t="b">
        <f>IF(C163='ENERGETSKI KALKULATOR'!$D$39,TRUE,FALSE)</f>
        <v>0</v>
      </c>
      <c r="L163" s="9">
        <f>IF(K163,1,0)</f>
        <v>0</v>
      </c>
      <c r="M163" s="17" t="str">
        <f>IF($K$21,IF(SUM(L163:L169)&lt;&gt;1,"ЕНЕРГЕНТ ЗА ПРИПРЕМУ ПТВ ?",""),"")</f>
        <v/>
      </c>
    </row>
    <row r="164" spans="1:13">
      <c r="B164" s="22"/>
      <c r="C164" s="9" t="s">
        <v>29</v>
      </c>
      <c r="K164" s="9" t="b">
        <f>IF(C164='ENERGETSKI KALKULATOR'!$D$39,TRUE,FALSE)</f>
        <v>0</v>
      </c>
      <c r="L164" s="9">
        <f t="shared" ref="L164:L169" si="4">IF(K164,1,0)</f>
        <v>0</v>
      </c>
    </row>
    <row r="165" spans="1:13">
      <c r="B165" s="22"/>
      <c r="C165" s="9" t="s">
        <v>85</v>
      </c>
      <c r="K165" s="9" t="b">
        <f>IF(C165='ENERGETSKI KALKULATOR'!$D$39,TRUE,FALSE)</f>
        <v>0</v>
      </c>
      <c r="L165" s="9">
        <f t="shared" si="4"/>
        <v>0</v>
      </c>
    </row>
    <row r="166" spans="1:13">
      <c r="B166" s="22"/>
      <c r="C166" s="9" t="s">
        <v>31</v>
      </c>
      <c r="K166" s="9" t="b">
        <f>IF(C166='ENERGETSKI KALKULATOR'!$D$39,TRUE,FALSE)</f>
        <v>0</v>
      </c>
      <c r="L166" s="9">
        <f t="shared" si="4"/>
        <v>0</v>
      </c>
    </row>
    <row r="167" spans="1:13">
      <c r="B167" s="22"/>
      <c r="C167" s="9" t="s">
        <v>32</v>
      </c>
      <c r="K167" s="9" t="b">
        <f>IF(C167='ENERGETSKI KALKULATOR'!$D$39,TRUE,FALSE)</f>
        <v>0</v>
      </c>
      <c r="L167" s="9">
        <f t="shared" si="4"/>
        <v>0</v>
      </c>
    </row>
    <row r="168" spans="1:13">
      <c r="B168" s="22"/>
      <c r="C168" s="9" t="s">
        <v>33</v>
      </c>
      <c r="K168" s="9" t="b">
        <f>IF(C168='ENERGETSKI KALKULATOR'!$D$39,TRUE,FALSE)</f>
        <v>0</v>
      </c>
      <c r="L168" s="9">
        <f t="shared" si="4"/>
        <v>0</v>
      </c>
    </row>
    <row r="169" spans="1:13">
      <c r="B169" s="22"/>
      <c r="C169" s="9" t="s">
        <v>140</v>
      </c>
      <c r="K169" s="9" t="b">
        <f>IF(C169='ENERGETSKI KALKULATOR'!$D$39,TRUE,FALSE)</f>
        <v>0</v>
      </c>
      <c r="L169" s="9">
        <f t="shared" si="4"/>
        <v>0</v>
      </c>
    </row>
    <row r="170" spans="1:13">
      <c r="B170" s="9" t="s">
        <v>51</v>
      </c>
      <c r="F170" s="18"/>
      <c r="G170" s="9" t="s">
        <v>1</v>
      </c>
    </row>
    <row r="171" spans="1:13" ht="13.95" customHeight="1">
      <c r="B171" s="9" t="s">
        <v>52</v>
      </c>
      <c r="E171" s="16"/>
      <c r="F171" s="18"/>
      <c r="G171" s="9" t="s">
        <v>446</v>
      </c>
    </row>
    <row r="172" spans="1:13" ht="15" thickBot="1">
      <c r="B172" s="9" t="s">
        <v>48</v>
      </c>
      <c r="D172" s="16"/>
      <c r="E172" s="16"/>
      <c r="F172" s="52"/>
    </row>
    <row r="173" spans="1:13" ht="15" thickBot="1">
      <c r="A173" s="53"/>
      <c r="B173" s="14" t="s">
        <v>395</v>
      </c>
      <c r="C173" s="63">
        <f>'ENERGETSKI KALKULATOR'!$D$38</f>
        <v>0</v>
      </c>
      <c r="D173" s="53"/>
      <c r="E173" s="53"/>
      <c r="F173" s="53"/>
      <c r="G173" s="53"/>
      <c r="H173" s="53"/>
      <c r="I173" s="53"/>
      <c r="J173" s="53"/>
      <c r="M173" s="17" t="str">
        <f>IF($K$21,IF(C173=0,"ВРЕДНОСТ ИНВЕСТИЦИЈЕ ?",""),"")</f>
        <v/>
      </c>
    </row>
    <row r="174" spans="1:13">
      <c r="A174" s="53"/>
      <c r="B174" s="14" t="s">
        <v>45</v>
      </c>
      <c r="C174" s="54"/>
      <c r="D174" s="54"/>
      <c r="E174" s="53"/>
      <c r="F174" s="53"/>
      <c r="G174" s="53"/>
      <c r="H174" s="53"/>
      <c r="I174" s="53"/>
      <c r="J174" s="53"/>
    </row>
    <row r="175" spans="1:13">
      <c r="A175" s="53"/>
      <c r="B175" s="14" t="s">
        <v>34</v>
      </c>
      <c r="C175" s="72"/>
      <c r="D175" s="54"/>
      <c r="E175" s="53"/>
      <c r="F175" s="53"/>
      <c r="G175" s="53"/>
      <c r="H175" s="53"/>
      <c r="I175" s="53"/>
      <c r="J175" s="53"/>
    </row>
    <row r="176" spans="1:13" ht="15" thickBot="1">
      <c r="A176" s="53"/>
      <c r="B176" s="14" t="s">
        <v>35</v>
      </c>
      <c r="C176" s="72"/>
      <c r="D176" s="54"/>
      <c r="E176" s="53"/>
      <c r="F176" s="53"/>
      <c r="G176" s="53"/>
      <c r="H176" s="53"/>
      <c r="I176" s="53"/>
      <c r="J176" s="53"/>
    </row>
    <row r="177" spans="1:13" ht="16.8" thickBot="1">
      <c r="A177" s="53"/>
      <c r="B177" s="14" t="s">
        <v>574</v>
      </c>
      <c r="C177" s="118">
        <f>'ENERGETSKI KALKULATOR'!$I$39</f>
        <v>0</v>
      </c>
      <c r="D177" s="54" t="s">
        <v>285</v>
      </c>
      <c r="E177" s="53"/>
      <c r="F177" s="53"/>
      <c r="G177" s="53"/>
      <c r="H177" s="53"/>
      <c r="I177" s="53"/>
      <c r="J177" s="53"/>
      <c r="M177" s="17" t="str">
        <f>IF($K$21,IF(C177=0,"НЕТО ПОВРШИНА КОЛЕКТОРА ?",""),"")</f>
        <v/>
      </c>
    </row>
    <row r="178" spans="1:13" ht="15" thickBot="1">
      <c r="A178" s="53"/>
      <c r="B178" s="14" t="s">
        <v>37</v>
      </c>
      <c r="C178" s="113">
        <f>'ENERGETSKI KALKULATOR'!$I$40</f>
        <v>0</v>
      </c>
      <c r="D178" s="54" t="s">
        <v>81</v>
      </c>
      <c r="E178" s="53"/>
      <c r="F178" s="53"/>
      <c r="G178" s="53"/>
      <c r="H178" s="53"/>
      <c r="I178" s="53"/>
      <c r="J178" s="53"/>
      <c r="M178" s="17" t="str">
        <f>IF($K$21,IF(C178=0,"СТЕПЕН КОРИСНОСТИ КОЛЕКТОРА ?",""),"")</f>
        <v/>
      </c>
    </row>
    <row r="179" spans="1:13" ht="21.6" thickBot="1">
      <c r="A179" s="81" t="s">
        <v>740</v>
      </c>
      <c r="B179" s="82">
        <f>KALKULATOR!B276</f>
        <v>0</v>
      </c>
      <c r="C179" s="83"/>
      <c r="D179" s="84"/>
      <c r="E179" s="84" t="s">
        <v>741</v>
      </c>
      <c r="F179" s="85">
        <f>IF(C173=0,0,USTEDA!K15)</f>
        <v>0</v>
      </c>
      <c r="G179" s="86"/>
      <c r="H179" s="86"/>
      <c r="I179" s="87" t="s">
        <v>742</v>
      </c>
      <c r="J179" s="88" t="e">
        <f>C173/F179</f>
        <v>#DIV/0!</v>
      </c>
    </row>
    <row r="180" spans="1:13" ht="15" thickBot="1">
      <c r="A180" s="55">
        <v>6</v>
      </c>
      <c r="B180" s="56" t="s">
        <v>267</v>
      </c>
      <c r="M180" s="17" t="str">
        <f>IF(B181&lt;KALKULATOR!B292,"ИНСТАЛИРАНА СНАГА ЈЕ ВЕЋА ОД ОДОБРЕНЕ !","")</f>
        <v/>
      </c>
    </row>
    <row r="181" spans="1:13" ht="15" thickBot="1">
      <c r="A181" s="55"/>
      <c r="B181" s="119">
        <v>17.2</v>
      </c>
      <c r="C181" s="9" t="s">
        <v>268</v>
      </c>
      <c r="M181" s="17" t="str">
        <f>IF($K$22,IF(B181=0,"ОДОБРЕНА СНАГА ?",""),"")</f>
        <v/>
      </c>
    </row>
    <row r="182" spans="1:13" ht="15" thickBot="1">
      <c r="A182" s="120"/>
      <c r="B182" s="14" t="s">
        <v>292</v>
      </c>
      <c r="C182" s="121">
        <f>'ENERGETSKI KALKULATOR'!$D$47</f>
        <v>0</v>
      </c>
      <c r="D182" s="54" t="s">
        <v>192</v>
      </c>
      <c r="E182" s="53"/>
      <c r="F182" s="53"/>
      <c r="G182" s="53"/>
      <c r="H182" s="53"/>
      <c r="I182" s="53"/>
      <c r="J182" s="53"/>
      <c r="M182" s="17" t="str">
        <f>IF($K$22,IF(C182=0,"ГОДИШЊА ПОТРОШЊА ЕЛЕКТРИЧНЕ ЕНЕРГИЈЕ ?",""),"")</f>
        <v/>
      </c>
    </row>
    <row r="183" spans="1:13" ht="15" thickBot="1">
      <c r="A183" s="55"/>
      <c r="B183" s="122" t="s">
        <v>269</v>
      </c>
    </row>
    <row r="184" spans="1:13" ht="15" thickBot="1">
      <c r="A184" s="55"/>
      <c r="B184" s="22"/>
      <c r="C184" s="123" t="s">
        <v>83</v>
      </c>
      <c r="K184" s="9" t="b">
        <f>IF(C184='ENERGETSKI KALKULATOR'!$D$49,TRUE,FALSE)</f>
        <v>0</v>
      </c>
      <c r="L184" s="9">
        <f>IF(K184,1,0)</f>
        <v>0</v>
      </c>
      <c r="M184" s="17" t="str">
        <f>IF($K$22,IF(SUM(L184:L185)&lt;&gt;1,"МЕСТО УГРАДЊЕ СОЛАРНИХ ПАНЕЛА ?",""),"")</f>
        <v/>
      </c>
    </row>
    <row r="185" spans="1:13" ht="15" thickBot="1">
      <c r="A185" s="55"/>
      <c r="B185" s="22"/>
      <c r="C185" s="123" t="s">
        <v>270</v>
      </c>
      <c r="K185" s="9" t="b">
        <f>IF(C185='ENERGETSKI KALKULATOR'!$D$49,TRUE,FALSE)</f>
        <v>0</v>
      </c>
      <c r="L185" s="9">
        <f>IF(K185,1,0)</f>
        <v>0</v>
      </c>
    </row>
    <row r="186" spans="1:13" ht="15" thickBot="1">
      <c r="A186" s="53"/>
      <c r="B186" s="14" t="s">
        <v>487</v>
      </c>
      <c r="C186" s="63">
        <f>'ENERGETSKI KALKULATOR'!$D$46</f>
        <v>0</v>
      </c>
      <c r="D186" s="54" t="s">
        <v>488</v>
      </c>
      <c r="E186" s="53"/>
      <c r="F186" s="53"/>
      <c r="G186" s="53"/>
      <c r="H186" s="53"/>
      <c r="I186" s="53"/>
      <c r="J186" s="53"/>
      <c r="M186" s="17" t="str">
        <f>IF($K$22,IF(C186=0,"ВРЕДНОСТ ИНВЕСТИЦИЈЕ ?",""),"")</f>
        <v/>
      </c>
    </row>
    <row r="187" spans="1:13" ht="15" thickBot="1">
      <c r="A187" s="53"/>
      <c r="B187" s="14" t="s">
        <v>34</v>
      </c>
      <c r="C187" s="72"/>
      <c r="D187" s="54"/>
      <c r="E187" s="53"/>
      <c r="F187" s="53"/>
      <c r="G187" s="53"/>
      <c r="H187" s="53"/>
      <c r="I187" s="53"/>
      <c r="J187" s="53"/>
    </row>
    <row r="188" spans="1:13" ht="15" thickBot="1">
      <c r="A188" s="53"/>
      <c r="B188" s="54"/>
      <c r="C188" s="54"/>
      <c r="D188" s="54"/>
      <c r="E188" s="53"/>
      <c r="F188" s="53"/>
      <c r="G188" s="53"/>
      <c r="H188" s="53"/>
      <c r="I188" s="53"/>
      <c r="J188" s="53"/>
      <c r="M188" s="17" t="str">
        <f>IF($K$22,IF(C188=0,"ПОВРШИНА СОЛАРНИХ ПАНЕЛА ?",""),"")</f>
        <v/>
      </c>
    </row>
    <row r="189" spans="1:13" ht="15" thickBot="1">
      <c r="A189" s="53"/>
      <c r="B189" s="14" t="s">
        <v>920</v>
      </c>
      <c r="C189" s="111">
        <f>'ENERGETSKI KALKULATOR'!I47</f>
        <v>0</v>
      </c>
      <c r="D189" s="54" t="s">
        <v>403</v>
      </c>
      <c r="E189" s="54"/>
      <c r="F189" s="53"/>
      <c r="G189" s="53"/>
      <c r="H189" s="53"/>
      <c r="I189" s="53"/>
      <c r="J189" s="53"/>
      <c r="M189" s="17" t="str">
        <f>IF($K$22,IF(C189=0,"ЈЕДИНИЧНА МАКСИМАЛНА СНАГА СОЛАРНИХ ПАНЕЛА ?",""),"")</f>
        <v/>
      </c>
    </row>
    <row r="190" spans="1:13" ht="15" thickBot="1">
      <c r="A190" s="53"/>
      <c r="B190" s="14" t="s">
        <v>517</v>
      </c>
      <c r="C190" s="54" t="str">
        <f>VLOOKUP(C5,UNOS!B402:G547,6,FALSE)</f>
        <v>Шумадијска</v>
      </c>
      <c r="D190" s="54"/>
      <c r="E190" s="54"/>
      <c r="F190" s="53"/>
      <c r="G190" s="53"/>
      <c r="H190" s="53"/>
      <c r="I190" s="53"/>
      <c r="J190" s="53"/>
      <c r="M190" s="17" t="str">
        <f>IF($K$22,IF(C190=0,"ОКРУГ ?",""),"")</f>
        <v/>
      </c>
    </row>
    <row r="191" spans="1:13" ht="21.6" thickBot="1">
      <c r="A191" s="81" t="s">
        <v>740</v>
      </c>
      <c r="B191" s="82">
        <f>KALKULATOR!B303</f>
        <v>0</v>
      </c>
      <c r="C191" s="83"/>
      <c r="D191" s="84"/>
      <c r="E191" s="84" t="s">
        <v>741</v>
      </c>
      <c r="F191" s="85">
        <f>IF(C186=0,0,USTEDA!L15)</f>
        <v>0</v>
      </c>
      <c r="G191" s="86"/>
      <c r="H191" s="86"/>
      <c r="I191" s="87" t="s">
        <v>742</v>
      </c>
      <c r="J191" s="88" t="e">
        <f>C186/F191</f>
        <v>#DIV/0!</v>
      </c>
    </row>
    <row r="192" spans="1:13">
      <c r="A192" s="55"/>
      <c r="B192" s="56"/>
    </row>
    <row r="193" spans="1:10">
      <c r="A193" s="55"/>
      <c r="B193" s="56"/>
    </row>
    <row r="194" spans="1:10">
      <c r="B194" s="97" t="s">
        <v>53</v>
      </c>
      <c r="C194" s="52"/>
      <c r="D194" s="52"/>
      <c r="E194" s="52"/>
      <c r="F194" s="52"/>
      <c r="G194" s="52"/>
      <c r="H194" s="52"/>
      <c r="I194" s="52"/>
      <c r="J194" s="52"/>
    </row>
    <row r="195" spans="1:10">
      <c r="B195" s="52"/>
      <c r="C195" s="52"/>
      <c r="D195" s="52"/>
      <c r="E195" s="52"/>
      <c r="F195" s="52"/>
      <c r="G195" s="52"/>
      <c r="H195" s="52"/>
      <c r="I195" s="52"/>
      <c r="J195" s="52"/>
    </row>
    <row r="196" spans="1:10">
      <c r="B196" s="52"/>
      <c r="C196" s="52"/>
      <c r="D196" s="52"/>
      <c r="E196" s="52"/>
      <c r="F196" s="52"/>
      <c r="G196" s="52"/>
      <c r="H196" s="52"/>
      <c r="I196" s="52"/>
      <c r="J196" s="52"/>
    </row>
    <row r="197" spans="1:10">
      <c r="B197" s="52"/>
      <c r="C197" s="52"/>
      <c r="D197" s="52"/>
      <c r="E197" s="52"/>
      <c r="F197" s="52"/>
      <c r="G197" s="52"/>
      <c r="H197" s="52"/>
      <c r="I197" s="52"/>
      <c r="J197" s="52"/>
    </row>
    <row r="198" spans="1:10">
      <c r="B198" s="52"/>
      <c r="C198" s="52"/>
      <c r="D198" s="52"/>
      <c r="E198" s="52"/>
      <c r="F198" s="52"/>
      <c r="G198" s="52"/>
      <c r="H198" s="52"/>
      <c r="I198" s="52"/>
      <c r="J198" s="52"/>
    </row>
    <row r="400" spans="1:1" ht="23.4">
      <c r="A400" s="124" t="s">
        <v>336</v>
      </c>
    </row>
    <row r="401" spans="1:7">
      <c r="A401" s="125">
        <v>0</v>
      </c>
      <c r="B401" s="125" t="s">
        <v>575</v>
      </c>
      <c r="C401" s="125" t="s">
        <v>576</v>
      </c>
      <c r="D401" s="125" t="s">
        <v>577</v>
      </c>
      <c r="E401" s="125" t="s">
        <v>576</v>
      </c>
      <c r="F401" s="125" t="s">
        <v>578</v>
      </c>
      <c r="G401" s="125" t="s">
        <v>579</v>
      </c>
    </row>
    <row r="402" spans="1:7">
      <c r="A402" s="125">
        <v>0</v>
      </c>
      <c r="B402" s="126" t="s">
        <v>821</v>
      </c>
      <c r="C402" s="125">
        <v>80</v>
      </c>
      <c r="D402" s="125" t="s">
        <v>653</v>
      </c>
      <c r="E402" s="125">
        <v>78</v>
      </c>
      <c r="F402" s="125">
        <v>2644.2</v>
      </c>
      <c r="G402" s="125" t="s">
        <v>304</v>
      </c>
    </row>
    <row r="403" spans="1:7" ht="28.8">
      <c r="A403" s="125">
        <v>66</v>
      </c>
      <c r="B403" s="126" t="s">
        <v>580</v>
      </c>
      <c r="C403" s="125">
        <v>370</v>
      </c>
      <c r="D403" s="125" t="s">
        <v>581</v>
      </c>
      <c r="E403" s="125">
        <v>163</v>
      </c>
      <c r="F403" s="125">
        <v>2588.6</v>
      </c>
      <c r="G403" s="125" t="s">
        <v>319</v>
      </c>
    </row>
    <row r="404" spans="1:7">
      <c r="A404" s="125">
        <v>18</v>
      </c>
      <c r="B404" s="126" t="s">
        <v>582</v>
      </c>
      <c r="C404" s="125">
        <v>168</v>
      </c>
      <c r="D404" s="125" t="s">
        <v>583</v>
      </c>
      <c r="E404" s="127">
        <v>195</v>
      </c>
      <c r="F404" s="125">
        <v>2476.6999999999998</v>
      </c>
      <c r="G404" s="125" t="s">
        <v>320</v>
      </c>
    </row>
    <row r="405" spans="1:7">
      <c r="A405" s="125">
        <v>80</v>
      </c>
      <c r="B405" s="126" t="s">
        <v>584</v>
      </c>
      <c r="C405" s="125">
        <v>71</v>
      </c>
      <c r="D405" s="125" t="s">
        <v>585</v>
      </c>
      <c r="E405" s="125">
        <v>89</v>
      </c>
      <c r="F405" s="125">
        <v>2596.4</v>
      </c>
      <c r="G405" s="125" t="s">
        <v>308</v>
      </c>
    </row>
    <row r="406" spans="1:7">
      <c r="A406" s="125">
        <v>12</v>
      </c>
      <c r="B406" s="126" t="s">
        <v>586</v>
      </c>
      <c r="C406" s="125">
        <v>82</v>
      </c>
      <c r="D406" s="125" t="s">
        <v>587</v>
      </c>
      <c r="E406" s="125">
        <v>90</v>
      </c>
      <c r="F406" s="125">
        <v>2686.2</v>
      </c>
      <c r="G406" s="125" t="s">
        <v>302</v>
      </c>
    </row>
    <row r="407" spans="1:7" ht="28.8">
      <c r="A407" s="125">
        <v>72</v>
      </c>
      <c r="B407" s="126" t="s">
        <v>588</v>
      </c>
      <c r="C407" s="125">
        <v>257</v>
      </c>
      <c r="D407" s="125" t="s">
        <v>589</v>
      </c>
      <c r="E407" s="125">
        <v>125</v>
      </c>
      <c r="F407" s="125">
        <v>2554.6</v>
      </c>
      <c r="G407" s="125" t="s">
        <v>316</v>
      </c>
    </row>
    <row r="408" spans="1:7">
      <c r="A408" s="125">
        <v>33</v>
      </c>
      <c r="B408" s="126" t="s">
        <v>590</v>
      </c>
      <c r="C408" s="125">
        <v>350</v>
      </c>
      <c r="D408" s="125" t="s">
        <v>591</v>
      </c>
      <c r="E408" s="125">
        <v>315</v>
      </c>
      <c r="F408" s="125">
        <v>3062</v>
      </c>
      <c r="G408" s="125" t="s">
        <v>314</v>
      </c>
    </row>
    <row r="409" spans="1:7">
      <c r="A409" s="125">
        <v>20</v>
      </c>
      <c r="B409" s="126" t="s">
        <v>592</v>
      </c>
      <c r="C409" s="125">
        <v>470</v>
      </c>
      <c r="D409" s="125" t="s">
        <v>593</v>
      </c>
      <c r="E409" s="125">
        <v>367</v>
      </c>
      <c r="F409" s="125">
        <v>2613.1</v>
      </c>
      <c r="G409" s="125" t="s">
        <v>324</v>
      </c>
    </row>
    <row r="410" spans="1:7" ht="28.8">
      <c r="A410" s="125">
        <v>123</v>
      </c>
      <c r="B410" s="126" t="s">
        <v>594</v>
      </c>
      <c r="C410" s="125">
        <v>257</v>
      </c>
      <c r="D410" s="125" t="s">
        <v>595</v>
      </c>
      <c r="E410" s="127">
        <v>174</v>
      </c>
      <c r="F410" s="125">
        <v>2627.9</v>
      </c>
      <c r="G410" s="125" t="s">
        <v>314</v>
      </c>
    </row>
    <row r="411" spans="1:7">
      <c r="A411" s="125">
        <v>67</v>
      </c>
      <c r="B411" s="126" t="s">
        <v>596</v>
      </c>
      <c r="C411" s="125">
        <v>260</v>
      </c>
      <c r="D411" s="125" t="s">
        <v>597</v>
      </c>
      <c r="E411" s="125">
        <v>117</v>
      </c>
      <c r="F411" s="125">
        <v>2299</v>
      </c>
      <c r="G411" s="125" t="s">
        <v>310</v>
      </c>
    </row>
    <row r="412" spans="1:7">
      <c r="A412" s="125">
        <v>107</v>
      </c>
      <c r="B412" s="126" t="s">
        <v>598</v>
      </c>
      <c r="C412" s="125">
        <v>111</v>
      </c>
      <c r="D412" s="125" t="s">
        <v>599</v>
      </c>
      <c r="E412" s="125">
        <v>173</v>
      </c>
      <c r="F412" s="125">
        <v>2530.9</v>
      </c>
      <c r="G412" s="125" t="s">
        <v>316</v>
      </c>
    </row>
    <row r="413" spans="1:7">
      <c r="A413" s="125">
        <v>127</v>
      </c>
      <c r="B413" s="126" t="s">
        <v>600</v>
      </c>
      <c r="C413" s="125">
        <v>83</v>
      </c>
      <c r="D413" s="125" t="s">
        <v>601</v>
      </c>
      <c r="E413" s="125">
        <v>80</v>
      </c>
      <c r="F413" s="125">
        <v>2604.1999999999998</v>
      </c>
      <c r="G413" s="125" t="s">
        <v>305</v>
      </c>
    </row>
    <row r="414" spans="1:7">
      <c r="A414" s="125">
        <v>19</v>
      </c>
      <c r="B414" s="125" t="s">
        <v>602</v>
      </c>
      <c r="C414" s="125">
        <v>102</v>
      </c>
      <c r="D414" s="125" t="s">
        <v>587</v>
      </c>
      <c r="E414" s="125">
        <v>90</v>
      </c>
      <c r="F414" s="125">
        <v>2686.2</v>
      </c>
      <c r="G414" s="125" t="s">
        <v>303</v>
      </c>
    </row>
    <row r="415" spans="1:7" ht="28.8">
      <c r="A415" s="125">
        <v>4</v>
      </c>
      <c r="B415" s="126" t="s">
        <v>603</v>
      </c>
      <c r="C415" s="125">
        <v>86</v>
      </c>
      <c r="D415" s="125" t="s">
        <v>601</v>
      </c>
      <c r="E415" s="125">
        <v>80</v>
      </c>
      <c r="F415" s="125">
        <v>2604.1999999999998</v>
      </c>
      <c r="G415" s="125" t="s">
        <v>305</v>
      </c>
    </row>
    <row r="416" spans="1:7">
      <c r="A416" s="125">
        <v>108</v>
      </c>
      <c r="B416" s="125" t="s">
        <v>604</v>
      </c>
      <c r="C416" s="125">
        <v>394</v>
      </c>
      <c r="D416" s="125" t="s">
        <v>593</v>
      </c>
      <c r="E416" s="125">
        <v>367</v>
      </c>
      <c r="F416" s="125">
        <v>2613.1</v>
      </c>
      <c r="G416" s="125" t="s">
        <v>324</v>
      </c>
    </row>
    <row r="417" spans="1:7">
      <c r="A417" s="125">
        <v>11</v>
      </c>
      <c r="B417" s="126" t="s">
        <v>605</v>
      </c>
      <c r="C417" s="125">
        <v>78</v>
      </c>
      <c r="D417" s="125" t="s">
        <v>606</v>
      </c>
      <c r="E417" s="125">
        <v>93</v>
      </c>
      <c r="F417" s="125">
        <v>2521</v>
      </c>
      <c r="G417" s="125" t="s">
        <v>308</v>
      </c>
    </row>
    <row r="418" spans="1:7">
      <c r="A418" s="125">
        <v>111</v>
      </c>
      <c r="B418" s="126" t="s">
        <v>607</v>
      </c>
      <c r="C418" s="125">
        <v>88</v>
      </c>
      <c r="D418" s="125" t="s">
        <v>601</v>
      </c>
      <c r="E418" s="125">
        <v>80</v>
      </c>
      <c r="F418" s="125">
        <v>2604.1999999999998</v>
      </c>
      <c r="G418" s="125" t="s">
        <v>305</v>
      </c>
    </row>
    <row r="419" spans="1:7">
      <c r="A419" s="125">
        <v>110</v>
      </c>
      <c r="B419" s="126" t="s">
        <v>608</v>
      </c>
      <c r="C419" s="125">
        <v>82</v>
      </c>
      <c r="D419" s="125" t="s">
        <v>601</v>
      </c>
      <c r="E419" s="125">
        <v>80</v>
      </c>
      <c r="F419" s="125">
        <v>2604.1999999999998</v>
      </c>
      <c r="G419" s="125" t="s">
        <v>305</v>
      </c>
    </row>
    <row r="420" spans="1:7">
      <c r="A420" s="125">
        <v>53</v>
      </c>
      <c r="B420" s="126" t="s">
        <v>609</v>
      </c>
      <c r="C420" s="125">
        <v>389</v>
      </c>
      <c r="D420" s="125" t="s">
        <v>610</v>
      </c>
      <c r="E420" s="125">
        <v>366</v>
      </c>
      <c r="F420" s="125">
        <v>2823.3</v>
      </c>
      <c r="G420" s="125" t="s">
        <v>322</v>
      </c>
    </row>
    <row r="421" spans="1:7">
      <c r="A421" s="125">
        <v>115</v>
      </c>
      <c r="B421" s="126" t="s">
        <v>611</v>
      </c>
      <c r="C421" s="125">
        <v>81</v>
      </c>
      <c r="D421" s="125" t="s">
        <v>612</v>
      </c>
      <c r="E421" s="125">
        <v>82</v>
      </c>
      <c r="F421" s="125">
        <v>2628.9</v>
      </c>
      <c r="G421" s="125" t="s">
        <v>309</v>
      </c>
    </row>
    <row r="422" spans="1:7">
      <c r="A422" s="125">
        <v>13</v>
      </c>
      <c r="B422" s="126" t="s">
        <v>613</v>
      </c>
      <c r="C422" s="125">
        <v>242</v>
      </c>
      <c r="D422" s="125" t="s">
        <v>614</v>
      </c>
      <c r="E422" s="125">
        <v>228</v>
      </c>
      <c r="F422" s="125">
        <v>2681.2</v>
      </c>
      <c r="G422" s="125" t="s">
        <v>323</v>
      </c>
    </row>
    <row r="423" spans="1:7">
      <c r="A423" s="125">
        <v>94</v>
      </c>
      <c r="B423" s="126" t="s">
        <v>615</v>
      </c>
      <c r="C423" s="125">
        <v>263</v>
      </c>
      <c r="D423" s="125" t="s">
        <v>616</v>
      </c>
      <c r="E423" s="125">
        <v>134</v>
      </c>
      <c r="F423" s="125">
        <v>2792.3</v>
      </c>
      <c r="G423" s="125" t="s">
        <v>321</v>
      </c>
    </row>
    <row r="424" spans="1:7">
      <c r="A424" s="125">
        <v>89</v>
      </c>
      <c r="B424" s="126" t="s">
        <v>617</v>
      </c>
      <c r="C424" s="125">
        <v>381</v>
      </c>
      <c r="D424" s="125" t="s">
        <v>616</v>
      </c>
      <c r="E424" s="125">
        <v>134</v>
      </c>
      <c r="F424" s="125">
        <v>2792.3</v>
      </c>
      <c r="G424" s="125" t="s">
        <v>318</v>
      </c>
    </row>
    <row r="425" spans="1:7">
      <c r="A425" s="125">
        <v>103</v>
      </c>
      <c r="B425" s="126" t="s">
        <v>618</v>
      </c>
      <c r="C425" s="125">
        <v>696</v>
      </c>
      <c r="D425" s="125" t="s">
        <v>619</v>
      </c>
      <c r="E425" s="127">
        <v>487</v>
      </c>
      <c r="F425" s="125">
        <v>2662.9</v>
      </c>
      <c r="G425" s="125" t="s">
        <v>325</v>
      </c>
    </row>
    <row r="426" spans="1:7">
      <c r="A426" s="125">
        <v>60</v>
      </c>
      <c r="B426" s="126" t="s">
        <v>620</v>
      </c>
      <c r="C426" s="125">
        <v>436</v>
      </c>
      <c r="D426" s="125" t="s">
        <v>621</v>
      </c>
      <c r="E426" s="125">
        <v>555</v>
      </c>
      <c r="F426" s="125">
        <v>3008.5</v>
      </c>
      <c r="G426" s="125" t="s">
        <v>319</v>
      </c>
    </row>
    <row r="427" spans="1:7">
      <c r="A427" s="125">
        <v>128</v>
      </c>
      <c r="B427" s="126" t="s">
        <v>622</v>
      </c>
      <c r="C427" s="125">
        <v>384</v>
      </c>
      <c r="D427" s="125" t="s">
        <v>619</v>
      </c>
      <c r="E427" s="125">
        <v>487</v>
      </c>
      <c r="F427" s="125">
        <v>2662.9</v>
      </c>
      <c r="G427" s="125" t="s">
        <v>325</v>
      </c>
    </row>
    <row r="428" spans="1:7">
      <c r="A428" s="125">
        <v>48</v>
      </c>
      <c r="B428" s="126" t="s">
        <v>623</v>
      </c>
      <c r="C428" s="125">
        <v>199</v>
      </c>
      <c r="D428" s="125" t="s">
        <v>623</v>
      </c>
      <c r="E428" s="125">
        <v>199</v>
      </c>
      <c r="F428" s="125">
        <v>2557.6</v>
      </c>
      <c r="G428" s="125" t="s">
        <v>311</v>
      </c>
    </row>
    <row r="429" spans="1:7">
      <c r="A429" s="125">
        <v>112</v>
      </c>
      <c r="B429" s="126" t="s">
        <v>624</v>
      </c>
      <c r="C429" s="125">
        <v>145</v>
      </c>
      <c r="D429" s="125" t="s">
        <v>599</v>
      </c>
      <c r="E429" s="125">
        <v>173</v>
      </c>
      <c r="F429" s="125">
        <v>2530.9</v>
      </c>
      <c r="G429" s="125" t="s">
        <v>319</v>
      </c>
    </row>
    <row r="430" spans="1:7" ht="28.8">
      <c r="A430" s="125">
        <v>0</v>
      </c>
      <c r="B430" s="126" t="s">
        <v>822</v>
      </c>
      <c r="C430" s="125">
        <v>123</v>
      </c>
      <c r="D430" s="125" t="s">
        <v>589</v>
      </c>
      <c r="E430" s="125">
        <v>125</v>
      </c>
      <c r="F430" s="125">
        <v>2554.6</v>
      </c>
      <c r="G430" s="125" t="s">
        <v>312</v>
      </c>
    </row>
    <row r="431" spans="1:7" ht="28.8">
      <c r="A431" s="125">
        <v>101</v>
      </c>
      <c r="B431" s="126" t="s">
        <v>625</v>
      </c>
      <c r="C431" s="125">
        <v>72</v>
      </c>
      <c r="D431" s="125" t="s">
        <v>625</v>
      </c>
      <c r="E431" s="125">
        <v>72</v>
      </c>
      <c r="F431" s="125">
        <v>2629.5</v>
      </c>
      <c r="G431" s="125" t="s">
        <v>313</v>
      </c>
    </row>
    <row r="432" spans="1:7">
      <c r="A432" s="125">
        <v>22</v>
      </c>
      <c r="B432" s="126" t="s">
        <v>626</v>
      </c>
      <c r="C432" s="125">
        <v>103</v>
      </c>
      <c r="D432" s="125" t="s">
        <v>627</v>
      </c>
      <c r="E432" s="125">
        <v>121</v>
      </c>
      <c r="F432" s="125">
        <v>2478.6999999999998</v>
      </c>
      <c r="G432" s="125" t="s">
        <v>309</v>
      </c>
    </row>
    <row r="433" spans="1:7" ht="28.8">
      <c r="A433" s="125">
        <v>70</v>
      </c>
      <c r="B433" s="126" t="s">
        <v>628</v>
      </c>
      <c r="C433" s="125">
        <v>386</v>
      </c>
      <c r="D433" s="125" t="s">
        <v>619</v>
      </c>
      <c r="E433" s="127">
        <v>487</v>
      </c>
      <c r="F433" s="125">
        <v>2662.9</v>
      </c>
      <c r="G433" s="125" t="s">
        <v>325</v>
      </c>
    </row>
    <row r="434" spans="1:7">
      <c r="A434" s="125">
        <v>56</v>
      </c>
      <c r="B434" s="126" t="s">
        <v>629</v>
      </c>
      <c r="C434" s="125">
        <v>234</v>
      </c>
      <c r="D434" s="125" t="s">
        <v>614</v>
      </c>
      <c r="E434" s="125">
        <v>228</v>
      </c>
      <c r="F434" s="125">
        <v>2681.2</v>
      </c>
      <c r="G434" s="125" t="s">
        <v>323</v>
      </c>
    </row>
    <row r="435" spans="1:7">
      <c r="A435" s="125">
        <v>106</v>
      </c>
      <c r="B435" s="126" t="s">
        <v>630</v>
      </c>
      <c r="C435" s="125">
        <v>250</v>
      </c>
      <c r="D435" s="125" t="s">
        <v>597</v>
      </c>
      <c r="E435" s="125">
        <v>117</v>
      </c>
      <c r="F435" s="125">
        <v>2299</v>
      </c>
      <c r="G435" s="125" t="s">
        <v>310</v>
      </c>
    </row>
    <row r="436" spans="1:7">
      <c r="A436" s="125">
        <v>109</v>
      </c>
      <c r="B436" s="126" t="s">
        <v>619</v>
      </c>
      <c r="C436" s="125">
        <v>487</v>
      </c>
      <c r="D436" s="125" t="s">
        <v>619</v>
      </c>
      <c r="E436" s="125">
        <v>487</v>
      </c>
      <c r="F436" s="125">
        <v>2662.9</v>
      </c>
      <c r="G436" s="125" t="s">
        <v>325</v>
      </c>
    </row>
    <row r="437" spans="1:7">
      <c r="A437" s="125">
        <v>0</v>
      </c>
      <c r="B437" s="126" t="s">
        <v>823</v>
      </c>
      <c r="C437" s="125">
        <v>142</v>
      </c>
      <c r="D437" s="125" t="s">
        <v>597</v>
      </c>
      <c r="E437" s="125">
        <v>117</v>
      </c>
      <c r="F437" s="125">
        <v>2299</v>
      </c>
      <c r="G437" s="125" t="s">
        <v>310</v>
      </c>
    </row>
    <row r="438" spans="1:7">
      <c r="A438" s="125">
        <v>130</v>
      </c>
      <c r="B438" s="126" t="s">
        <v>631</v>
      </c>
      <c r="C438" s="125">
        <v>85</v>
      </c>
      <c r="D438" s="125" t="s">
        <v>601</v>
      </c>
      <c r="E438" s="125">
        <v>80</v>
      </c>
      <c r="F438" s="125">
        <v>2604.1999999999998</v>
      </c>
      <c r="G438" s="125" t="s">
        <v>305</v>
      </c>
    </row>
    <row r="439" spans="1:7" ht="28.8">
      <c r="A439" s="125">
        <v>57</v>
      </c>
      <c r="B439" s="126" t="s">
        <v>632</v>
      </c>
      <c r="C439" s="125">
        <v>217</v>
      </c>
      <c r="D439" s="125" t="s">
        <v>633</v>
      </c>
      <c r="E439" s="125">
        <v>192</v>
      </c>
      <c r="F439" s="125">
        <v>2579.4</v>
      </c>
      <c r="G439" s="125" t="s">
        <v>86</v>
      </c>
    </row>
    <row r="440" spans="1:7">
      <c r="A440" s="125">
        <v>85</v>
      </c>
      <c r="B440" s="126" t="s">
        <v>606</v>
      </c>
      <c r="C440" s="125">
        <v>93</v>
      </c>
      <c r="D440" s="125" t="s">
        <v>606</v>
      </c>
      <c r="E440" s="127">
        <v>93</v>
      </c>
      <c r="F440" s="125">
        <v>2521</v>
      </c>
      <c r="G440" s="125" t="s">
        <v>308</v>
      </c>
    </row>
    <row r="441" spans="1:7">
      <c r="A441" s="125">
        <v>0</v>
      </c>
      <c r="B441" s="126" t="s">
        <v>824</v>
      </c>
      <c r="C441" s="125">
        <v>508</v>
      </c>
      <c r="D441" s="125" t="s">
        <v>619</v>
      </c>
      <c r="E441" s="125">
        <v>432</v>
      </c>
      <c r="F441" s="125">
        <v>2662.9</v>
      </c>
      <c r="G441" s="125" t="s">
        <v>325</v>
      </c>
    </row>
    <row r="442" spans="1:7">
      <c r="A442" s="125">
        <v>40</v>
      </c>
      <c r="B442" s="125" t="s">
        <v>634</v>
      </c>
      <c r="C442" s="125">
        <v>72</v>
      </c>
      <c r="D442" s="125" t="s">
        <v>625</v>
      </c>
      <c r="E442" s="125">
        <v>72</v>
      </c>
      <c r="F442" s="125">
        <v>2629.5</v>
      </c>
      <c r="G442" s="125" t="s">
        <v>313</v>
      </c>
    </row>
    <row r="443" spans="1:7" ht="28.8">
      <c r="A443" s="125">
        <v>34</v>
      </c>
      <c r="B443" s="126" t="s">
        <v>635</v>
      </c>
      <c r="C443" s="125">
        <v>310</v>
      </c>
      <c r="D443" s="125" t="s">
        <v>591</v>
      </c>
      <c r="E443" s="125">
        <v>315</v>
      </c>
      <c r="F443" s="125">
        <v>3062</v>
      </c>
      <c r="G443" s="125" t="s">
        <v>315</v>
      </c>
    </row>
    <row r="444" spans="1:7">
      <c r="A444" s="125">
        <v>105</v>
      </c>
      <c r="B444" s="126" t="s">
        <v>636</v>
      </c>
      <c r="C444" s="125">
        <v>71</v>
      </c>
      <c r="D444" s="125" t="s">
        <v>597</v>
      </c>
      <c r="E444" s="125">
        <v>117</v>
      </c>
      <c r="F444" s="125">
        <v>2299</v>
      </c>
      <c r="G444" s="125" t="s">
        <v>310</v>
      </c>
    </row>
    <row r="445" spans="1:7">
      <c r="A445" s="125">
        <v>42</v>
      </c>
      <c r="B445" s="126" t="s">
        <v>637</v>
      </c>
      <c r="C445" s="125">
        <v>189</v>
      </c>
      <c r="D445" s="125" t="s">
        <v>638</v>
      </c>
      <c r="E445" s="127">
        <v>124</v>
      </c>
      <c r="F445" s="125">
        <v>2666.2</v>
      </c>
      <c r="G445" s="125" t="s">
        <v>317</v>
      </c>
    </row>
    <row r="446" spans="1:7" ht="28.8">
      <c r="A446" s="125">
        <v>2</v>
      </c>
      <c r="B446" s="126" t="s">
        <v>639</v>
      </c>
      <c r="C446" s="125">
        <v>463</v>
      </c>
      <c r="D446" s="125" t="s">
        <v>639</v>
      </c>
      <c r="E446" s="125">
        <v>463</v>
      </c>
      <c r="F446" s="125">
        <v>2957.7</v>
      </c>
      <c r="G446" s="125" t="s">
        <v>324</v>
      </c>
    </row>
    <row r="447" spans="1:7">
      <c r="A447" s="125">
        <v>93</v>
      </c>
      <c r="B447" s="126" t="s">
        <v>640</v>
      </c>
      <c r="C447" s="125">
        <v>72</v>
      </c>
      <c r="D447" s="125" t="s">
        <v>601</v>
      </c>
      <c r="E447" s="125">
        <v>80</v>
      </c>
      <c r="F447" s="125">
        <v>2604.1999999999998</v>
      </c>
      <c r="G447" s="125" t="s">
        <v>305</v>
      </c>
    </row>
    <row r="448" spans="1:7">
      <c r="A448" s="125">
        <v>55</v>
      </c>
      <c r="B448" s="126" t="s">
        <v>641</v>
      </c>
      <c r="C448" s="125">
        <v>186</v>
      </c>
      <c r="D448" s="125" t="s">
        <v>589</v>
      </c>
      <c r="E448" s="127">
        <v>125</v>
      </c>
      <c r="F448" s="125">
        <v>2554.6</v>
      </c>
      <c r="G448" s="125" t="s">
        <v>313</v>
      </c>
    </row>
    <row r="449" spans="1:7">
      <c r="A449" s="125">
        <v>15</v>
      </c>
      <c r="B449" s="126" t="s">
        <v>642</v>
      </c>
      <c r="C449" s="125">
        <v>314</v>
      </c>
      <c r="D449" s="125" t="s">
        <v>643</v>
      </c>
      <c r="E449" s="127">
        <v>1033</v>
      </c>
      <c r="F449" s="125">
        <v>4049</v>
      </c>
      <c r="G449" s="125" t="s">
        <v>313</v>
      </c>
    </row>
    <row r="450" spans="1:7">
      <c r="A450" s="125">
        <v>41</v>
      </c>
      <c r="B450" s="126" t="s">
        <v>644</v>
      </c>
      <c r="C450" s="125">
        <v>78</v>
      </c>
      <c r="D450" s="125" t="s">
        <v>645</v>
      </c>
      <c r="E450" s="125">
        <v>76</v>
      </c>
      <c r="F450" s="125">
        <v>2589.6999999999998</v>
      </c>
      <c r="G450" s="125" t="s">
        <v>306</v>
      </c>
    </row>
    <row r="451" spans="1:7">
      <c r="A451" s="125">
        <v>0</v>
      </c>
      <c r="B451" s="126" t="s">
        <v>825</v>
      </c>
      <c r="C451" s="125">
        <v>221</v>
      </c>
      <c r="D451" s="125" t="s">
        <v>583</v>
      </c>
      <c r="E451" s="125">
        <v>195</v>
      </c>
      <c r="F451" s="125">
        <v>2476.6999999999998</v>
      </c>
      <c r="G451" s="125" t="s">
        <v>322</v>
      </c>
    </row>
    <row r="452" spans="1:7">
      <c r="A452" s="125">
        <v>113</v>
      </c>
      <c r="B452" s="126" t="s">
        <v>616</v>
      </c>
      <c r="C452" s="125">
        <v>134</v>
      </c>
      <c r="D452" s="125" t="s">
        <v>616</v>
      </c>
      <c r="E452" s="125">
        <v>134</v>
      </c>
      <c r="F452" s="125">
        <v>2792.3</v>
      </c>
      <c r="G452" s="125" t="s">
        <v>321</v>
      </c>
    </row>
    <row r="453" spans="1:7">
      <c r="A453" s="125">
        <v>69</v>
      </c>
      <c r="B453" s="126" t="s">
        <v>646</v>
      </c>
      <c r="C453" s="125">
        <v>270</v>
      </c>
      <c r="D453" s="125" t="s">
        <v>597</v>
      </c>
      <c r="E453" s="125">
        <v>117</v>
      </c>
      <c r="F453" s="125">
        <v>2299</v>
      </c>
      <c r="G453" s="125" t="s">
        <v>310</v>
      </c>
    </row>
    <row r="454" spans="1:7">
      <c r="A454" s="125">
        <v>37</v>
      </c>
      <c r="B454" s="126" t="s">
        <v>647</v>
      </c>
      <c r="C454" s="125">
        <v>82</v>
      </c>
      <c r="D454" s="125" t="s">
        <v>597</v>
      </c>
      <c r="E454" s="127">
        <v>117</v>
      </c>
      <c r="F454" s="125">
        <v>2299</v>
      </c>
      <c r="G454" s="125" t="s">
        <v>310</v>
      </c>
    </row>
    <row r="455" spans="1:7">
      <c r="A455" s="125">
        <v>87</v>
      </c>
      <c r="B455" s="126" t="s">
        <v>645</v>
      </c>
      <c r="C455" s="125">
        <v>76</v>
      </c>
      <c r="D455" s="125" t="s">
        <v>645</v>
      </c>
      <c r="E455" s="125">
        <v>76</v>
      </c>
      <c r="F455" s="125">
        <v>2589.6999999999998</v>
      </c>
      <c r="G455" s="125" t="s">
        <v>306</v>
      </c>
    </row>
    <row r="456" spans="1:7">
      <c r="A456" s="125">
        <v>68</v>
      </c>
      <c r="B456" s="126" t="s">
        <v>648</v>
      </c>
      <c r="C456" s="125">
        <v>468</v>
      </c>
      <c r="D456" s="125" t="s">
        <v>633</v>
      </c>
      <c r="E456" s="125">
        <v>192</v>
      </c>
      <c r="F456" s="125">
        <v>2579.4</v>
      </c>
      <c r="G456" s="125" t="s">
        <v>315</v>
      </c>
    </row>
    <row r="457" spans="1:7">
      <c r="A457" s="125">
        <v>125</v>
      </c>
      <c r="B457" s="126" t="s">
        <v>649</v>
      </c>
      <c r="C457" s="125">
        <v>116</v>
      </c>
      <c r="D457" s="125" t="s">
        <v>601</v>
      </c>
      <c r="E457" s="125">
        <v>80</v>
      </c>
      <c r="F457" s="125">
        <v>2604.1999999999998</v>
      </c>
      <c r="G457" s="125" t="s">
        <v>307</v>
      </c>
    </row>
    <row r="458" spans="1:7">
      <c r="A458" s="125">
        <v>102</v>
      </c>
      <c r="B458" s="126" t="s">
        <v>650</v>
      </c>
      <c r="C458" s="125">
        <v>190</v>
      </c>
      <c r="D458" s="125" t="s">
        <v>612</v>
      </c>
      <c r="E458" s="127">
        <v>82</v>
      </c>
      <c r="F458" s="125">
        <v>2628.9</v>
      </c>
      <c r="G458" s="125" t="s">
        <v>307</v>
      </c>
    </row>
    <row r="459" spans="1:7">
      <c r="A459" s="125">
        <v>76</v>
      </c>
      <c r="B459" s="126" t="s">
        <v>651</v>
      </c>
      <c r="C459" s="125">
        <v>80</v>
      </c>
      <c r="D459" s="125" t="s">
        <v>652</v>
      </c>
      <c r="E459" s="127">
        <v>102</v>
      </c>
      <c r="F459" s="125">
        <v>2779.2</v>
      </c>
      <c r="G459" s="125" t="s">
        <v>304</v>
      </c>
    </row>
    <row r="460" spans="1:7">
      <c r="A460" s="125">
        <v>100</v>
      </c>
      <c r="B460" s="126" t="s">
        <v>653</v>
      </c>
      <c r="C460" s="125">
        <v>78</v>
      </c>
      <c r="D460" s="125" t="s">
        <v>653</v>
      </c>
      <c r="E460" s="125">
        <v>78</v>
      </c>
      <c r="F460" s="125">
        <v>2644.2</v>
      </c>
      <c r="G460" s="125" t="s">
        <v>304</v>
      </c>
    </row>
    <row r="461" spans="1:7">
      <c r="A461" s="125">
        <v>0</v>
      </c>
      <c r="B461" s="126" t="s">
        <v>826</v>
      </c>
      <c r="C461" s="125">
        <v>45</v>
      </c>
      <c r="D461" s="125" t="s">
        <v>667</v>
      </c>
      <c r="E461" s="125">
        <v>46</v>
      </c>
      <c r="F461" s="125">
        <v>2567.9</v>
      </c>
      <c r="G461" s="125" t="s">
        <v>318</v>
      </c>
    </row>
    <row r="462" spans="1:7">
      <c r="A462" s="125">
        <v>49</v>
      </c>
      <c r="B462" s="126" t="s">
        <v>654</v>
      </c>
      <c r="C462" s="125">
        <v>320</v>
      </c>
      <c r="D462" s="125" t="s">
        <v>599</v>
      </c>
      <c r="E462" s="125">
        <v>173</v>
      </c>
      <c r="F462" s="125">
        <v>2530.9</v>
      </c>
      <c r="G462" s="125" t="s">
        <v>316</v>
      </c>
    </row>
    <row r="463" spans="1:7">
      <c r="A463" s="125">
        <v>32</v>
      </c>
      <c r="B463" s="126" t="s">
        <v>655</v>
      </c>
      <c r="C463" s="125">
        <v>221</v>
      </c>
      <c r="D463" s="125" t="s">
        <v>616</v>
      </c>
      <c r="E463" s="125">
        <v>134</v>
      </c>
      <c r="F463" s="125">
        <v>2792.3</v>
      </c>
      <c r="G463" s="125" t="s">
        <v>321</v>
      </c>
    </row>
    <row r="464" spans="1:7">
      <c r="A464" s="125">
        <v>96</v>
      </c>
      <c r="B464" s="126" t="s">
        <v>656</v>
      </c>
      <c r="C464" s="125">
        <v>78</v>
      </c>
      <c r="D464" s="125" t="s">
        <v>585</v>
      </c>
      <c r="E464" s="125">
        <v>89</v>
      </c>
      <c r="F464" s="125">
        <v>2596.4</v>
      </c>
      <c r="G464" s="125" t="s">
        <v>308</v>
      </c>
    </row>
    <row r="465" spans="1:7">
      <c r="A465" s="125">
        <v>39</v>
      </c>
      <c r="B465" s="126" t="s">
        <v>657</v>
      </c>
      <c r="C465" s="125">
        <v>68</v>
      </c>
      <c r="D465" s="125" t="s">
        <v>585</v>
      </c>
      <c r="E465" s="125">
        <v>89</v>
      </c>
      <c r="F465" s="125">
        <v>2596.4</v>
      </c>
      <c r="G465" s="125" t="s">
        <v>308</v>
      </c>
    </row>
    <row r="466" spans="1:7">
      <c r="A466" s="125">
        <v>28</v>
      </c>
      <c r="B466" s="126" t="s">
        <v>658</v>
      </c>
      <c r="C466" s="125">
        <v>415</v>
      </c>
      <c r="D466" s="125" t="s">
        <v>591</v>
      </c>
      <c r="E466" s="125">
        <v>315</v>
      </c>
      <c r="F466" s="125">
        <v>3062</v>
      </c>
      <c r="G466" s="125" t="s">
        <v>314</v>
      </c>
    </row>
    <row r="467" spans="1:7">
      <c r="A467" s="125">
        <v>0</v>
      </c>
      <c r="B467" s="125" t="s">
        <v>827</v>
      </c>
      <c r="C467" s="125">
        <v>500</v>
      </c>
      <c r="D467" s="125" t="s">
        <v>610</v>
      </c>
      <c r="E467" s="125">
        <v>380</v>
      </c>
      <c r="F467" s="125">
        <v>2823.3</v>
      </c>
      <c r="G467" s="125" t="s">
        <v>322</v>
      </c>
    </row>
    <row r="468" spans="1:7">
      <c r="A468" s="125">
        <v>129</v>
      </c>
      <c r="B468" s="126" t="s">
        <v>659</v>
      </c>
      <c r="C468" s="125">
        <v>126</v>
      </c>
      <c r="D468" s="125" t="s">
        <v>623</v>
      </c>
      <c r="E468" s="127">
        <v>199</v>
      </c>
      <c r="F468" s="125">
        <v>2557.6</v>
      </c>
      <c r="G468" s="125" t="s">
        <v>309</v>
      </c>
    </row>
    <row r="469" spans="1:7">
      <c r="A469" s="125">
        <v>54</v>
      </c>
      <c r="B469" s="126" t="s">
        <v>599</v>
      </c>
      <c r="C469" s="125">
        <v>173</v>
      </c>
      <c r="D469" s="125" t="s">
        <v>599</v>
      </c>
      <c r="E469" s="125">
        <v>173</v>
      </c>
      <c r="F469" s="125">
        <v>2530.9</v>
      </c>
      <c r="G469" s="125" t="s">
        <v>316</v>
      </c>
    </row>
    <row r="470" spans="1:7">
      <c r="A470" s="125">
        <v>61</v>
      </c>
      <c r="B470" s="126" t="s">
        <v>633</v>
      </c>
      <c r="C470" s="125">
        <v>192</v>
      </c>
      <c r="D470" s="125" t="s">
        <v>633</v>
      </c>
      <c r="E470" s="125">
        <v>192</v>
      </c>
      <c r="F470" s="125">
        <v>2579.4</v>
      </c>
      <c r="G470" s="125" t="s">
        <v>86</v>
      </c>
    </row>
    <row r="471" spans="1:7">
      <c r="A471" s="125">
        <v>0</v>
      </c>
      <c r="B471" s="126" t="s">
        <v>733</v>
      </c>
      <c r="C471" s="125">
        <v>299</v>
      </c>
      <c r="D471" s="125" t="s">
        <v>733</v>
      </c>
      <c r="E471" s="125">
        <v>280</v>
      </c>
      <c r="F471" s="125">
        <v>2956.4</v>
      </c>
      <c r="G471" s="125" t="s">
        <v>309</v>
      </c>
    </row>
    <row r="472" spans="1:7">
      <c r="A472" s="125">
        <v>63</v>
      </c>
      <c r="B472" s="126" t="s">
        <v>581</v>
      </c>
      <c r="C472" s="125">
        <v>163</v>
      </c>
      <c r="D472" s="125" t="s">
        <v>581</v>
      </c>
      <c r="E472" s="125">
        <v>163</v>
      </c>
      <c r="F472" s="125">
        <v>2588.6</v>
      </c>
      <c r="G472" s="125" t="s">
        <v>319</v>
      </c>
    </row>
    <row r="473" spans="1:7">
      <c r="A473" s="125">
        <v>58</v>
      </c>
      <c r="B473" s="126" t="s">
        <v>660</v>
      </c>
      <c r="C473" s="125">
        <v>88</v>
      </c>
      <c r="D473" s="125" t="s">
        <v>587</v>
      </c>
      <c r="E473" s="125">
        <v>90</v>
      </c>
      <c r="F473" s="125">
        <v>2686.2</v>
      </c>
      <c r="G473" s="125" t="s">
        <v>302</v>
      </c>
    </row>
    <row r="474" spans="1:7">
      <c r="A474" s="125">
        <v>24</v>
      </c>
      <c r="B474" s="126" t="s">
        <v>610</v>
      </c>
      <c r="C474" s="125">
        <v>366</v>
      </c>
      <c r="D474" s="125" t="s">
        <v>610</v>
      </c>
      <c r="E474" s="125">
        <v>366</v>
      </c>
      <c r="F474" s="125">
        <v>2823.3</v>
      </c>
      <c r="G474" s="125" t="s">
        <v>322</v>
      </c>
    </row>
    <row r="475" spans="1:7">
      <c r="A475" s="125">
        <v>1</v>
      </c>
      <c r="B475" s="126" t="s">
        <v>661</v>
      </c>
      <c r="C475" s="125">
        <v>162</v>
      </c>
      <c r="D475" s="125" t="s">
        <v>625</v>
      </c>
      <c r="E475" s="125">
        <v>72</v>
      </c>
      <c r="F475" s="125">
        <v>2629.5</v>
      </c>
      <c r="G475" s="125" t="s">
        <v>313</v>
      </c>
    </row>
    <row r="476" spans="1:7">
      <c r="A476" s="125">
        <v>29</v>
      </c>
      <c r="B476" s="126" t="s">
        <v>662</v>
      </c>
      <c r="C476" s="125">
        <v>161</v>
      </c>
      <c r="D476" s="125" t="s">
        <v>597</v>
      </c>
      <c r="E476" s="125">
        <v>117</v>
      </c>
      <c r="F476" s="125">
        <v>2299</v>
      </c>
      <c r="G476" s="125" t="s">
        <v>310</v>
      </c>
    </row>
    <row r="477" spans="1:7">
      <c r="A477" s="125">
        <v>0</v>
      </c>
      <c r="B477" s="126" t="s">
        <v>828</v>
      </c>
      <c r="C477" s="125">
        <v>113</v>
      </c>
      <c r="D477" s="125" t="s">
        <v>623</v>
      </c>
      <c r="E477" s="127">
        <v>199</v>
      </c>
      <c r="F477" s="125">
        <v>2557.6</v>
      </c>
      <c r="G477" s="125" t="s">
        <v>311</v>
      </c>
    </row>
    <row r="478" spans="1:7">
      <c r="A478" s="125">
        <v>43</v>
      </c>
      <c r="B478" s="126" t="s">
        <v>663</v>
      </c>
      <c r="C478" s="125">
        <v>105</v>
      </c>
      <c r="D478" s="125" t="s">
        <v>589</v>
      </c>
      <c r="E478" s="125">
        <v>125</v>
      </c>
      <c r="F478" s="125">
        <v>2554.6</v>
      </c>
      <c r="G478" s="125" t="s">
        <v>316</v>
      </c>
    </row>
    <row r="479" spans="1:7">
      <c r="A479" s="125">
        <v>71</v>
      </c>
      <c r="B479" s="126" t="s">
        <v>664</v>
      </c>
      <c r="C479" s="125">
        <v>275</v>
      </c>
      <c r="D479" s="125" t="s">
        <v>614</v>
      </c>
      <c r="E479" s="125">
        <v>228</v>
      </c>
      <c r="F479" s="125">
        <v>2681.2</v>
      </c>
      <c r="G479" s="125" t="s">
        <v>323</v>
      </c>
    </row>
    <row r="480" spans="1:7">
      <c r="A480" s="125">
        <v>122</v>
      </c>
      <c r="B480" s="126" t="s">
        <v>614</v>
      </c>
      <c r="C480" s="125">
        <v>228</v>
      </c>
      <c r="D480" s="125" t="s">
        <v>614</v>
      </c>
      <c r="E480" s="125">
        <v>228</v>
      </c>
      <c r="F480" s="125">
        <v>2681.2</v>
      </c>
      <c r="G480" s="125" t="s">
        <v>323</v>
      </c>
    </row>
    <row r="481" spans="1:7">
      <c r="A481" s="125">
        <v>73</v>
      </c>
      <c r="B481" s="126" t="s">
        <v>627</v>
      </c>
      <c r="C481" s="125">
        <v>121</v>
      </c>
      <c r="D481" s="125" t="s">
        <v>627</v>
      </c>
      <c r="E481" s="125">
        <v>121</v>
      </c>
      <c r="F481" s="125">
        <v>2478.6999999999998</v>
      </c>
      <c r="G481" s="125" t="s">
        <v>309</v>
      </c>
    </row>
    <row r="482" spans="1:7">
      <c r="A482" s="125">
        <v>59</v>
      </c>
      <c r="B482" s="126" t="s">
        <v>665</v>
      </c>
      <c r="C482" s="125">
        <v>308</v>
      </c>
      <c r="D482" s="125" t="s">
        <v>591</v>
      </c>
      <c r="E482" s="125">
        <v>315</v>
      </c>
      <c r="F482" s="125">
        <v>3062</v>
      </c>
      <c r="G482" s="125" t="s">
        <v>315</v>
      </c>
    </row>
    <row r="483" spans="1:7">
      <c r="A483" s="125">
        <v>51</v>
      </c>
      <c r="B483" s="126" t="s">
        <v>595</v>
      </c>
      <c r="C483" s="125">
        <v>174</v>
      </c>
      <c r="D483" s="125" t="s">
        <v>595</v>
      </c>
      <c r="E483" s="127">
        <v>174</v>
      </c>
      <c r="F483" s="125">
        <v>2627.9</v>
      </c>
      <c r="G483" s="125" t="s">
        <v>309</v>
      </c>
    </row>
    <row r="484" spans="1:7">
      <c r="A484" s="125">
        <v>118</v>
      </c>
      <c r="B484" s="126" t="s">
        <v>666</v>
      </c>
      <c r="C484" s="125">
        <v>362</v>
      </c>
      <c r="D484" s="125" t="s">
        <v>667</v>
      </c>
      <c r="E484" s="125">
        <v>46</v>
      </c>
      <c r="F484" s="125">
        <v>2567.9</v>
      </c>
      <c r="G484" s="125" t="s">
        <v>318</v>
      </c>
    </row>
    <row r="485" spans="1:7" ht="28.8">
      <c r="A485" s="125">
        <v>36</v>
      </c>
      <c r="B485" s="126" t="s">
        <v>668</v>
      </c>
      <c r="C485" s="125">
        <v>149</v>
      </c>
      <c r="D485" s="125" t="s">
        <v>627</v>
      </c>
      <c r="E485" s="125">
        <v>121</v>
      </c>
      <c r="F485" s="125">
        <v>2478.6999999999998</v>
      </c>
      <c r="G485" s="125" t="s">
        <v>309</v>
      </c>
    </row>
    <row r="486" spans="1:7">
      <c r="A486" s="125">
        <v>88</v>
      </c>
      <c r="B486" s="126" t="s">
        <v>669</v>
      </c>
      <c r="C486" s="125">
        <v>88</v>
      </c>
      <c r="D486" s="125" t="s">
        <v>652</v>
      </c>
      <c r="E486" s="125">
        <v>102</v>
      </c>
      <c r="F486" s="125">
        <v>2779.2</v>
      </c>
      <c r="G486" s="125" t="s">
        <v>303</v>
      </c>
    </row>
    <row r="487" spans="1:7" ht="28.8">
      <c r="A487" s="125">
        <v>47</v>
      </c>
      <c r="B487" s="126" t="s">
        <v>670</v>
      </c>
      <c r="C487" s="125">
        <v>87</v>
      </c>
      <c r="D487" s="125" t="s">
        <v>625</v>
      </c>
      <c r="E487" s="127">
        <v>72</v>
      </c>
      <c r="F487" s="125">
        <v>2629.5</v>
      </c>
      <c r="G487" s="125" t="s">
        <v>313</v>
      </c>
    </row>
    <row r="488" spans="1:7">
      <c r="A488" s="125">
        <v>0</v>
      </c>
      <c r="B488" s="126" t="s">
        <v>829</v>
      </c>
      <c r="C488" s="125">
        <v>440</v>
      </c>
      <c r="D488" s="125" t="s">
        <v>610</v>
      </c>
      <c r="E488" s="125">
        <v>380</v>
      </c>
      <c r="F488" s="125">
        <v>2823.3</v>
      </c>
      <c r="G488" s="125" t="s">
        <v>323</v>
      </c>
    </row>
    <row r="489" spans="1:7">
      <c r="A489" s="125">
        <v>64</v>
      </c>
      <c r="B489" s="126" t="s">
        <v>671</v>
      </c>
      <c r="C489" s="125">
        <v>244</v>
      </c>
      <c r="D489" s="125" t="s">
        <v>583</v>
      </c>
      <c r="E489" s="127">
        <v>195</v>
      </c>
      <c r="F489" s="125">
        <v>2476.6999999999998</v>
      </c>
      <c r="G489" s="125" t="s">
        <v>320</v>
      </c>
    </row>
    <row r="490" spans="1:7">
      <c r="A490" s="125">
        <v>0</v>
      </c>
      <c r="B490" s="126" t="s">
        <v>830</v>
      </c>
      <c r="C490" s="125">
        <v>189</v>
      </c>
      <c r="D490" s="125" t="s">
        <v>623</v>
      </c>
      <c r="E490" s="125">
        <v>199</v>
      </c>
      <c r="F490" s="125">
        <v>2557.6</v>
      </c>
      <c r="G490" s="125" t="s">
        <v>311</v>
      </c>
    </row>
    <row r="491" spans="1:7">
      <c r="A491" s="125">
        <v>95</v>
      </c>
      <c r="B491" s="125" t="s">
        <v>672</v>
      </c>
      <c r="C491" s="125">
        <v>138</v>
      </c>
      <c r="D491" s="125" t="s">
        <v>589</v>
      </c>
      <c r="E491" s="125">
        <v>125</v>
      </c>
      <c r="F491" s="125">
        <v>2554.6</v>
      </c>
      <c r="G491" s="125" t="s">
        <v>310</v>
      </c>
    </row>
    <row r="492" spans="1:7">
      <c r="A492" s="125">
        <v>92</v>
      </c>
      <c r="B492" s="126" t="s">
        <v>667</v>
      </c>
      <c r="C492" s="125">
        <v>46</v>
      </c>
      <c r="D492" s="125" t="s">
        <v>667</v>
      </c>
      <c r="E492" s="127">
        <v>46</v>
      </c>
      <c r="F492" s="125">
        <v>2567.9</v>
      </c>
      <c r="G492" s="125" t="s">
        <v>318</v>
      </c>
    </row>
    <row r="493" spans="1:7">
      <c r="A493" s="125">
        <v>27</v>
      </c>
      <c r="B493" s="126" t="s">
        <v>583</v>
      </c>
      <c r="C493" s="125">
        <v>195</v>
      </c>
      <c r="D493" s="125" t="s">
        <v>583</v>
      </c>
      <c r="E493" s="127">
        <v>195</v>
      </c>
      <c r="F493" s="125">
        <v>2476.6999999999998</v>
      </c>
      <c r="G493" s="125" t="s">
        <v>320</v>
      </c>
    </row>
    <row r="494" spans="1:7">
      <c r="A494" s="125">
        <v>21</v>
      </c>
      <c r="B494" s="126" t="s">
        <v>673</v>
      </c>
      <c r="C494" s="125">
        <v>1111</v>
      </c>
      <c r="D494" s="125" t="s">
        <v>674</v>
      </c>
      <c r="E494" s="125">
        <v>1038</v>
      </c>
      <c r="F494" s="125">
        <v>3956</v>
      </c>
      <c r="G494" s="125" t="s">
        <v>314</v>
      </c>
    </row>
    <row r="495" spans="1:7">
      <c r="A495" s="125">
        <v>44</v>
      </c>
      <c r="B495" s="126" t="s">
        <v>675</v>
      </c>
      <c r="C495" s="125">
        <v>77</v>
      </c>
      <c r="D495" s="125" t="s">
        <v>653</v>
      </c>
      <c r="E495" s="125">
        <v>78</v>
      </c>
      <c r="F495" s="125">
        <v>2644.2</v>
      </c>
      <c r="G495" s="125" t="s">
        <v>306</v>
      </c>
    </row>
    <row r="496" spans="1:7" ht="28.8">
      <c r="A496" s="125">
        <v>0</v>
      </c>
      <c r="B496" s="126" t="s">
        <v>831</v>
      </c>
      <c r="C496" s="125">
        <v>76</v>
      </c>
      <c r="D496" s="125" t="s">
        <v>597</v>
      </c>
      <c r="E496" s="127">
        <v>117</v>
      </c>
      <c r="F496" s="125">
        <v>2299</v>
      </c>
      <c r="G496" s="125" t="s">
        <v>310</v>
      </c>
    </row>
    <row r="497" spans="1:7">
      <c r="A497" s="125">
        <v>46</v>
      </c>
      <c r="B497" s="126" t="s">
        <v>676</v>
      </c>
      <c r="C497" s="125">
        <v>76</v>
      </c>
      <c r="D497" s="125" t="s">
        <v>653</v>
      </c>
      <c r="E497" s="125">
        <v>78</v>
      </c>
      <c r="F497" s="125">
        <v>2644.2</v>
      </c>
      <c r="G497" s="125" t="s">
        <v>306</v>
      </c>
    </row>
    <row r="498" spans="1:7" ht="28.8">
      <c r="A498" s="125">
        <v>97</v>
      </c>
      <c r="B498" s="126" t="s">
        <v>677</v>
      </c>
      <c r="C498" s="125">
        <v>84</v>
      </c>
      <c r="D498" s="125" t="s">
        <v>653</v>
      </c>
      <c r="E498" s="125">
        <v>78</v>
      </c>
      <c r="F498" s="125">
        <v>2644.2</v>
      </c>
      <c r="G498" s="125" t="s">
        <v>304</v>
      </c>
    </row>
    <row r="499" spans="1:7">
      <c r="A499" s="125">
        <v>99</v>
      </c>
      <c r="B499" s="126" t="s">
        <v>678</v>
      </c>
      <c r="C499" s="125">
        <v>477</v>
      </c>
      <c r="D499" s="125" t="s">
        <v>621</v>
      </c>
      <c r="E499" s="125">
        <v>555</v>
      </c>
      <c r="F499" s="125">
        <v>3008.5</v>
      </c>
      <c r="G499" s="125" t="s">
        <v>86</v>
      </c>
    </row>
    <row r="500" spans="1:7">
      <c r="A500" s="125">
        <v>75</v>
      </c>
      <c r="B500" s="126" t="s">
        <v>601</v>
      </c>
      <c r="C500" s="125">
        <v>80</v>
      </c>
      <c r="D500" s="125" t="s">
        <v>601</v>
      </c>
      <c r="E500" s="125">
        <v>80</v>
      </c>
      <c r="F500" s="125">
        <v>2604.1999999999998</v>
      </c>
      <c r="G500" s="125" t="s">
        <v>305</v>
      </c>
    </row>
    <row r="501" spans="1:7">
      <c r="A501" s="125">
        <v>116</v>
      </c>
      <c r="B501" s="126" t="s">
        <v>679</v>
      </c>
      <c r="C501" s="125">
        <v>76</v>
      </c>
      <c r="D501" s="125" t="s">
        <v>680</v>
      </c>
      <c r="E501" s="125">
        <v>96</v>
      </c>
      <c r="F501" s="125">
        <v>2482.5</v>
      </c>
      <c r="G501" s="125" t="s">
        <v>310</v>
      </c>
    </row>
    <row r="502" spans="1:7">
      <c r="A502" s="125">
        <v>14</v>
      </c>
      <c r="B502" s="126" t="s">
        <v>681</v>
      </c>
      <c r="C502" s="125">
        <v>67</v>
      </c>
      <c r="D502" s="125" t="s">
        <v>645</v>
      </c>
      <c r="E502" s="127">
        <v>76</v>
      </c>
      <c r="F502" s="125">
        <v>2589.6999999999998</v>
      </c>
      <c r="G502" s="125" t="s">
        <v>308</v>
      </c>
    </row>
    <row r="503" spans="1:7">
      <c r="A503" s="125">
        <v>5</v>
      </c>
      <c r="B503" s="126" t="s">
        <v>682</v>
      </c>
      <c r="C503" s="125">
        <v>87</v>
      </c>
      <c r="D503" s="125" t="s">
        <v>587</v>
      </c>
      <c r="E503" s="127">
        <v>90</v>
      </c>
      <c r="F503" s="125">
        <v>2686.2</v>
      </c>
      <c r="G503" s="125" t="s">
        <v>302</v>
      </c>
    </row>
    <row r="504" spans="1:7">
      <c r="A504" s="125">
        <v>131</v>
      </c>
      <c r="B504" s="126" t="s">
        <v>683</v>
      </c>
      <c r="C504" s="125">
        <v>256</v>
      </c>
      <c r="D504" s="125" t="s">
        <v>597</v>
      </c>
      <c r="E504" s="125">
        <v>117</v>
      </c>
      <c r="F504" s="125">
        <v>2299</v>
      </c>
      <c r="G504" s="125" t="s">
        <v>310</v>
      </c>
    </row>
    <row r="505" spans="1:7">
      <c r="A505" s="125">
        <v>104</v>
      </c>
      <c r="B505" s="126" t="s">
        <v>684</v>
      </c>
      <c r="C505" s="125">
        <v>77</v>
      </c>
      <c r="D505" s="125" t="s">
        <v>585</v>
      </c>
      <c r="E505" s="127">
        <v>89</v>
      </c>
      <c r="F505" s="125">
        <v>2596.4</v>
      </c>
      <c r="G505" s="125" t="s">
        <v>308</v>
      </c>
    </row>
    <row r="506" spans="1:7">
      <c r="A506" s="125">
        <v>77</v>
      </c>
      <c r="B506" s="126" t="s">
        <v>685</v>
      </c>
      <c r="C506" s="125">
        <v>132</v>
      </c>
      <c r="D506" s="125" t="s">
        <v>638</v>
      </c>
      <c r="E506" s="125">
        <v>124</v>
      </c>
      <c r="F506" s="125">
        <v>2666.2</v>
      </c>
      <c r="G506" s="125" t="s">
        <v>317</v>
      </c>
    </row>
    <row r="507" spans="1:7" ht="28.8">
      <c r="A507" s="125">
        <v>31</v>
      </c>
      <c r="B507" s="126" t="s">
        <v>686</v>
      </c>
      <c r="C507" s="125">
        <v>127</v>
      </c>
      <c r="D507" s="125" t="s">
        <v>625</v>
      </c>
      <c r="E507" s="127">
        <v>72</v>
      </c>
      <c r="F507" s="125">
        <v>2629.5</v>
      </c>
      <c r="G507" s="125" t="s">
        <v>313</v>
      </c>
    </row>
    <row r="508" spans="1:7">
      <c r="A508" s="125">
        <v>62</v>
      </c>
      <c r="B508" s="125" t="s">
        <v>687</v>
      </c>
      <c r="C508" s="125">
        <v>83</v>
      </c>
      <c r="D508" s="125" t="s">
        <v>680</v>
      </c>
      <c r="E508" s="127">
        <v>96</v>
      </c>
      <c r="F508" s="125">
        <v>2482.5</v>
      </c>
      <c r="G508" s="125" t="s">
        <v>307</v>
      </c>
    </row>
    <row r="509" spans="1:7">
      <c r="A509" s="125">
        <v>78</v>
      </c>
      <c r="B509" s="126" t="s">
        <v>593</v>
      </c>
      <c r="C509" s="125">
        <v>367</v>
      </c>
      <c r="D509" s="125" t="s">
        <v>593</v>
      </c>
      <c r="E509" s="125">
        <v>367</v>
      </c>
      <c r="F509" s="125">
        <v>2613.1</v>
      </c>
      <c r="G509" s="125" t="s">
        <v>324</v>
      </c>
    </row>
    <row r="510" spans="1:7">
      <c r="A510" s="125">
        <v>52</v>
      </c>
      <c r="B510" s="126" t="s">
        <v>688</v>
      </c>
      <c r="C510" s="125">
        <v>79</v>
      </c>
      <c r="D510" s="125" t="s">
        <v>606</v>
      </c>
      <c r="E510" s="127">
        <v>93</v>
      </c>
      <c r="F510" s="125">
        <v>2521</v>
      </c>
      <c r="G510" s="125" t="s">
        <v>308</v>
      </c>
    </row>
    <row r="511" spans="1:7">
      <c r="A511" s="125">
        <v>65</v>
      </c>
      <c r="B511" s="125" t="s">
        <v>689</v>
      </c>
      <c r="C511" s="125">
        <v>81</v>
      </c>
      <c r="D511" s="125" t="s">
        <v>625</v>
      </c>
      <c r="E511" s="125">
        <v>72</v>
      </c>
      <c r="F511" s="125">
        <v>2629.5</v>
      </c>
      <c r="G511" s="125" t="s">
        <v>313</v>
      </c>
    </row>
    <row r="512" spans="1:7">
      <c r="A512" s="125">
        <v>25</v>
      </c>
      <c r="B512" s="126" t="s">
        <v>591</v>
      </c>
      <c r="C512" s="125">
        <v>315</v>
      </c>
      <c r="D512" s="125" t="s">
        <v>591</v>
      </c>
      <c r="E512" s="125">
        <v>315</v>
      </c>
      <c r="F512" s="125">
        <v>3062</v>
      </c>
      <c r="G512" s="125" t="s">
        <v>314</v>
      </c>
    </row>
    <row r="513" spans="1:7">
      <c r="A513" s="125">
        <v>114</v>
      </c>
      <c r="B513" s="125" t="s">
        <v>690</v>
      </c>
      <c r="C513" s="125">
        <v>463</v>
      </c>
      <c r="D513" s="125" t="s">
        <v>619</v>
      </c>
      <c r="E513" s="125">
        <v>487</v>
      </c>
      <c r="F513" s="125">
        <v>2662.9</v>
      </c>
      <c r="G513" s="125" t="s">
        <v>325</v>
      </c>
    </row>
    <row r="514" spans="1:7">
      <c r="A514" s="125">
        <v>119</v>
      </c>
      <c r="B514" s="126" t="s">
        <v>691</v>
      </c>
      <c r="C514" s="125">
        <v>882</v>
      </c>
      <c r="D514" s="125" t="s">
        <v>692</v>
      </c>
      <c r="E514" s="125">
        <v>833</v>
      </c>
      <c r="F514" s="125">
        <v>3190.6</v>
      </c>
      <c r="G514" s="125" t="s">
        <v>314</v>
      </c>
    </row>
    <row r="515" spans="1:7">
      <c r="A515" s="125">
        <v>79</v>
      </c>
      <c r="B515" s="126" t="s">
        <v>693</v>
      </c>
      <c r="C515" s="125">
        <v>557</v>
      </c>
      <c r="D515" s="125" t="s">
        <v>692</v>
      </c>
      <c r="E515" s="125">
        <v>833</v>
      </c>
      <c r="F515" s="125">
        <v>3190.6</v>
      </c>
      <c r="G515" s="125" t="s">
        <v>314</v>
      </c>
    </row>
    <row r="516" spans="1:7">
      <c r="A516" s="125">
        <v>38</v>
      </c>
      <c r="B516" s="126" t="s">
        <v>694</v>
      </c>
      <c r="C516" s="125">
        <v>273</v>
      </c>
      <c r="D516" s="125" t="s">
        <v>610</v>
      </c>
      <c r="E516" s="125">
        <v>366</v>
      </c>
      <c r="F516" s="125">
        <v>2823.3</v>
      </c>
      <c r="G516" s="125" t="s">
        <v>322</v>
      </c>
    </row>
    <row r="517" spans="1:7">
      <c r="A517" s="125">
        <v>98</v>
      </c>
      <c r="B517" s="126" t="s">
        <v>695</v>
      </c>
      <c r="C517" s="125">
        <v>307</v>
      </c>
      <c r="D517" s="125" t="s">
        <v>597</v>
      </c>
      <c r="E517" s="125">
        <v>117</v>
      </c>
      <c r="F517" s="125">
        <v>2299</v>
      </c>
      <c r="G517" s="125" t="s">
        <v>310</v>
      </c>
    </row>
    <row r="518" spans="1:7">
      <c r="A518" s="125">
        <v>23</v>
      </c>
      <c r="B518" s="126" t="s">
        <v>696</v>
      </c>
      <c r="C518" s="125">
        <v>140</v>
      </c>
      <c r="D518" s="125" t="s">
        <v>599</v>
      </c>
      <c r="E518" s="125">
        <v>173</v>
      </c>
      <c r="F518" s="125">
        <v>2530.9</v>
      </c>
      <c r="G518" s="125" t="s">
        <v>316</v>
      </c>
    </row>
    <row r="519" spans="1:7">
      <c r="A519" s="125">
        <v>117</v>
      </c>
      <c r="B519" s="126" t="s">
        <v>86</v>
      </c>
      <c r="C519" s="125">
        <v>497</v>
      </c>
      <c r="D519" s="125" t="s">
        <v>621</v>
      </c>
      <c r="E519" s="125">
        <v>555</v>
      </c>
      <c r="F519" s="125">
        <v>3008.5</v>
      </c>
      <c r="G519" s="125" t="s">
        <v>86</v>
      </c>
    </row>
    <row r="520" spans="1:7" ht="28.8">
      <c r="A520" s="125">
        <v>6</v>
      </c>
      <c r="B520" s="126" t="s">
        <v>697</v>
      </c>
      <c r="C520" s="125">
        <v>161</v>
      </c>
      <c r="D520" s="125" t="s">
        <v>597</v>
      </c>
      <c r="E520" s="125">
        <v>117</v>
      </c>
      <c r="F520" s="125">
        <v>2299</v>
      </c>
      <c r="G520" s="125" t="s">
        <v>310</v>
      </c>
    </row>
    <row r="521" spans="1:7">
      <c r="A521" s="125">
        <v>126</v>
      </c>
      <c r="B521" s="126" t="s">
        <v>698</v>
      </c>
      <c r="C521" s="125">
        <v>100</v>
      </c>
      <c r="D521" s="125" t="s">
        <v>638</v>
      </c>
      <c r="E521" s="125">
        <v>124</v>
      </c>
      <c r="F521" s="125">
        <v>2666.2</v>
      </c>
      <c r="G521" s="125" t="s">
        <v>317</v>
      </c>
    </row>
    <row r="522" spans="1:7">
      <c r="A522" s="125">
        <v>26</v>
      </c>
      <c r="B522" s="126" t="s">
        <v>699</v>
      </c>
      <c r="C522" s="125">
        <v>81</v>
      </c>
      <c r="D522" s="125" t="s">
        <v>652</v>
      </c>
      <c r="E522" s="125">
        <v>102</v>
      </c>
      <c r="F522" s="125">
        <v>2779.2</v>
      </c>
      <c r="G522" s="125" t="s">
        <v>304</v>
      </c>
    </row>
    <row r="523" spans="1:7">
      <c r="A523" s="125">
        <v>9</v>
      </c>
      <c r="B523" s="126" t="s">
        <v>700</v>
      </c>
      <c r="C523" s="125">
        <v>77</v>
      </c>
      <c r="D523" s="125" t="s">
        <v>645</v>
      </c>
      <c r="E523" s="125">
        <v>76</v>
      </c>
      <c r="F523" s="125">
        <v>2589.6999999999998</v>
      </c>
      <c r="G523" s="125" t="s">
        <v>306</v>
      </c>
    </row>
    <row r="524" spans="1:7">
      <c r="A524" s="125">
        <v>30</v>
      </c>
      <c r="B524" s="126" t="s">
        <v>701</v>
      </c>
      <c r="C524" s="125">
        <v>72</v>
      </c>
      <c r="D524" s="125" t="s">
        <v>589</v>
      </c>
      <c r="E524" s="125">
        <v>125</v>
      </c>
      <c r="F524" s="125">
        <v>2554.6</v>
      </c>
      <c r="G524" s="125" t="s">
        <v>312</v>
      </c>
    </row>
    <row r="525" spans="1:7" ht="28.8">
      <c r="A525" s="125">
        <v>7</v>
      </c>
      <c r="B525" s="126" t="s">
        <v>589</v>
      </c>
      <c r="C525" s="125">
        <v>125</v>
      </c>
      <c r="D525" s="125" t="s">
        <v>589</v>
      </c>
      <c r="E525" s="125">
        <v>125</v>
      </c>
      <c r="F525" s="125">
        <v>2554.6</v>
      </c>
      <c r="G525" s="125" t="s">
        <v>312</v>
      </c>
    </row>
    <row r="526" spans="1:7">
      <c r="A526" s="125">
        <v>17</v>
      </c>
      <c r="B526" s="126" t="s">
        <v>702</v>
      </c>
      <c r="C526" s="125">
        <v>369</v>
      </c>
      <c r="D526" s="125" t="s">
        <v>583</v>
      </c>
      <c r="E526" s="125">
        <v>195</v>
      </c>
      <c r="F526" s="125">
        <v>2476.6999999999998</v>
      </c>
      <c r="G526" s="125" t="s">
        <v>321</v>
      </c>
    </row>
    <row r="527" spans="1:7">
      <c r="A527" s="125">
        <v>83</v>
      </c>
      <c r="B527" s="126" t="s">
        <v>587</v>
      </c>
      <c r="C527" s="125">
        <v>90</v>
      </c>
      <c r="D527" s="125" t="s">
        <v>587</v>
      </c>
      <c r="E527" s="125">
        <v>90</v>
      </c>
      <c r="F527" s="125">
        <v>2686.2</v>
      </c>
      <c r="G527" s="125" t="s">
        <v>302</v>
      </c>
    </row>
    <row r="528" spans="1:7">
      <c r="A528" s="125">
        <v>90</v>
      </c>
      <c r="B528" s="126" t="s">
        <v>703</v>
      </c>
      <c r="C528" s="125">
        <v>82</v>
      </c>
      <c r="D528" s="125" t="s">
        <v>601</v>
      </c>
      <c r="E528" s="125">
        <v>80</v>
      </c>
      <c r="F528" s="125">
        <v>2604.1999999999998</v>
      </c>
      <c r="G528" s="125" t="s">
        <v>305</v>
      </c>
    </row>
    <row r="529" spans="1:7" ht="28.8">
      <c r="A529" s="125">
        <v>91</v>
      </c>
      <c r="B529" s="126" t="s">
        <v>612</v>
      </c>
      <c r="C529" s="125">
        <v>82</v>
      </c>
      <c r="D529" s="125" t="s">
        <v>612</v>
      </c>
      <c r="E529" s="125">
        <v>82</v>
      </c>
      <c r="F529" s="125">
        <v>2628.9</v>
      </c>
      <c r="G529" s="125" t="s">
        <v>307</v>
      </c>
    </row>
    <row r="530" spans="1:7" ht="28.8">
      <c r="A530" s="125">
        <v>124</v>
      </c>
      <c r="B530" s="126" t="s">
        <v>704</v>
      </c>
      <c r="C530" s="125">
        <v>87</v>
      </c>
      <c r="D530" s="125" t="s">
        <v>601</v>
      </c>
      <c r="E530" s="125">
        <v>80</v>
      </c>
      <c r="F530" s="125">
        <v>2604.1999999999998</v>
      </c>
      <c r="G530" s="125" t="s">
        <v>305</v>
      </c>
    </row>
    <row r="531" spans="1:7" ht="28.8">
      <c r="A531" s="125">
        <v>10</v>
      </c>
      <c r="B531" s="126" t="s">
        <v>705</v>
      </c>
      <c r="C531" s="125">
        <v>82</v>
      </c>
      <c r="D531" s="125" t="s">
        <v>680</v>
      </c>
      <c r="E531" s="125">
        <v>96</v>
      </c>
      <c r="F531" s="125">
        <v>2482.5</v>
      </c>
      <c r="G531" s="125" t="s">
        <v>307</v>
      </c>
    </row>
    <row r="532" spans="1:7">
      <c r="A532" s="125">
        <v>0</v>
      </c>
      <c r="B532" s="126" t="s">
        <v>832</v>
      </c>
      <c r="C532" s="125">
        <v>58</v>
      </c>
      <c r="D532" s="125" t="s">
        <v>597</v>
      </c>
      <c r="E532" s="125">
        <v>117</v>
      </c>
      <c r="F532" s="125">
        <v>2299</v>
      </c>
      <c r="G532" s="125" t="s">
        <v>310</v>
      </c>
    </row>
    <row r="533" spans="1:7">
      <c r="A533" s="125">
        <v>74</v>
      </c>
      <c r="B533" s="126" t="s">
        <v>706</v>
      </c>
      <c r="C533" s="125">
        <v>109</v>
      </c>
      <c r="D533" s="125" t="s">
        <v>652</v>
      </c>
      <c r="E533" s="125">
        <v>102</v>
      </c>
      <c r="F533" s="125">
        <v>2779.2</v>
      </c>
      <c r="G533" s="125" t="s">
        <v>303</v>
      </c>
    </row>
    <row r="534" spans="1:7">
      <c r="A534" s="125">
        <v>0</v>
      </c>
      <c r="B534" s="125" t="s">
        <v>680</v>
      </c>
      <c r="C534" s="125">
        <v>73</v>
      </c>
      <c r="D534" s="125" t="s">
        <v>597</v>
      </c>
      <c r="E534" s="127">
        <v>117</v>
      </c>
      <c r="F534" s="125">
        <v>2299</v>
      </c>
      <c r="G534" s="125" t="s">
        <v>310</v>
      </c>
    </row>
    <row r="535" spans="1:7">
      <c r="A535" s="125">
        <v>121</v>
      </c>
      <c r="B535" s="126" t="s">
        <v>707</v>
      </c>
      <c r="C535" s="125">
        <v>83</v>
      </c>
      <c r="D535" s="125" t="s">
        <v>601</v>
      </c>
      <c r="E535" s="127">
        <v>80</v>
      </c>
      <c r="F535" s="125">
        <v>2604.1999999999998</v>
      </c>
      <c r="G535" s="125" t="s">
        <v>305</v>
      </c>
    </row>
    <row r="536" spans="1:7">
      <c r="A536" s="125">
        <v>35</v>
      </c>
      <c r="B536" s="126" t="s">
        <v>708</v>
      </c>
      <c r="C536" s="125">
        <v>79</v>
      </c>
      <c r="D536" s="125" t="s">
        <v>645</v>
      </c>
      <c r="E536" s="125">
        <v>76</v>
      </c>
      <c r="F536" s="125">
        <v>2589.6999999999998</v>
      </c>
      <c r="G536" s="125" t="s">
        <v>305</v>
      </c>
    </row>
    <row r="537" spans="1:7">
      <c r="A537" s="125">
        <v>16</v>
      </c>
      <c r="B537" s="126" t="s">
        <v>709</v>
      </c>
      <c r="C537" s="125">
        <v>272</v>
      </c>
      <c r="D537" s="125" t="s">
        <v>589</v>
      </c>
      <c r="E537" s="125">
        <v>125</v>
      </c>
      <c r="F537" s="125">
        <v>2554.6</v>
      </c>
      <c r="G537" s="125" t="s">
        <v>316</v>
      </c>
    </row>
    <row r="538" spans="1:7">
      <c r="A538" s="125">
        <v>8</v>
      </c>
      <c r="B538" s="126" t="s">
        <v>710</v>
      </c>
      <c r="C538" s="125">
        <v>805</v>
      </c>
      <c r="D538" s="125" t="s">
        <v>619</v>
      </c>
      <c r="E538" s="125">
        <v>487</v>
      </c>
      <c r="F538" s="125">
        <v>2662.9</v>
      </c>
      <c r="G538" s="125" t="s">
        <v>325</v>
      </c>
    </row>
    <row r="539" spans="1:7">
      <c r="A539" s="125">
        <v>86</v>
      </c>
      <c r="B539" s="125" t="s">
        <v>711</v>
      </c>
      <c r="C539" s="125">
        <v>172</v>
      </c>
      <c r="D539" s="125" t="s">
        <v>581</v>
      </c>
      <c r="E539" s="125">
        <v>163</v>
      </c>
      <c r="F539" s="125">
        <v>2588.6</v>
      </c>
      <c r="G539" s="125" t="s">
        <v>319</v>
      </c>
    </row>
    <row r="540" spans="1:7">
      <c r="A540" s="125">
        <v>120</v>
      </c>
      <c r="B540" s="126" t="s">
        <v>712</v>
      </c>
      <c r="C540" s="125">
        <v>867</v>
      </c>
      <c r="D540" s="125" t="s">
        <v>674</v>
      </c>
      <c r="E540" s="125">
        <v>1038</v>
      </c>
      <c r="F540" s="125">
        <v>3956</v>
      </c>
      <c r="G540" s="125" t="s">
        <v>86</v>
      </c>
    </row>
    <row r="541" spans="1:7">
      <c r="A541" s="125">
        <v>3</v>
      </c>
      <c r="B541" s="126" t="s">
        <v>638</v>
      </c>
      <c r="C541" s="125">
        <v>124</v>
      </c>
      <c r="D541" s="125" t="s">
        <v>638</v>
      </c>
      <c r="E541" s="127">
        <v>124</v>
      </c>
      <c r="F541" s="125">
        <v>2666.2</v>
      </c>
      <c r="G541" s="125" t="s">
        <v>317</v>
      </c>
    </row>
    <row r="542" spans="1:7">
      <c r="A542" s="125">
        <v>45</v>
      </c>
      <c r="B542" s="125" t="s">
        <v>713</v>
      </c>
      <c r="C542" s="125">
        <v>411</v>
      </c>
      <c r="D542" s="125" t="s">
        <v>591</v>
      </c>
      <c r="E542" s="125">
        <v>315</v>
      </c>
      <c r="F542" s="125">
        <v>3062</v>
      </c>
      <c r="G542" s="125" t="s">
        <v>314</v>
      </c>
    </row>
    <row r="543" spans="1:7">
      <c r="A543" s="125">
        <v>82</v>
      </c>
      <c r="B543" s="126" t="s">
        <v>714</v>
      </c>
      <c r="C543" s="125">
        <v>843</v>
      </c>
      <c r="D543" s="125" t="s">
        <v>715</v>
      </c>
      <c r="E543" s="125">
        <v>1028</v>
      </c>
      <c r="F543" s="125">
        <v>3633.9</v>
      </c>
      <c r="G543" s="125" t="s">
        <v>314</v>
      </c>
    </row>
    <row r="544" spans="1:7">
      <c r="A544" s="125">
        <v>81</v>
      </c>
      <c r="B544" s="126" t="s">
        <v>716</v>
      </c>
      <c r="C544" s="125">
        <v>242</v>
      </c>
      <c r="D544" s="125" t="s">
        <v>591</v>
      </c>
      <c r="E544" s="127">
        <v>315</v>
      </c>
      <c r="F544" s="125">
        <v>3062</v>
      </c>
      <c r="G544" s="125" t="s">
        <v>315</v>
      </c>
    </row>
    <row r="545" spans="1:7">
      <c r="A545" s="125">
        <v>0</v>
      </c>
      <c r="B545" s="126" t="s">
        <v>833</v>
      </c>
      <c r="C545" s="125">
        <v>81</v>
      </c>
      <c r="D545" s="125" t="s">
        <v>653</v>
      </c>
      <c r="E545" s="125">
        <v>78</v>
      </c>
      <c r="F545" s="125">
        <v>2644.2</v>
      </c>
      <c r="G545" s="125" t="s">
        <v>304</v>
      </c>
    </row>
    <row r="546" spans="1:7">
      <c r="A546" s="125">
        <v>84</v>
      </c>
      <c r="B546" s="126" t="s">
        <v>717</v>
      </c>
      <c r="C546" s="125">
        <v>83</v>
      </c>
      <c r="D546" s="125" t="s">
        <v>627</v>
      </c>
      <c r="E546" s="125">
        <v>121</v>
      </c>
      <c r="F546" s="125">
        <v>2478.6999999999998</v>
      </c>
      <c r="G546" s="125" t="s">
        <v>309</v>
      </c>
    </row>
    <row r="547" spans="1:7">
      <c r="A547" s="125">
        <v>50</v>
      </c>
      <c r="B547" s="126" t="s">
        <v>718</v>
      </c>
      <c r="C547" s="125">
        <v>98</v>
      </c>
      <c r="D547" s="125" t="s">
        <v>612</v>
      </c>
      <c r="E547" s="125">
        <v>82</v>
      </c>
      <c r="F547" s="125">
        <v>2628.9</v>
      </c>
      <c r="G547" s="125" t="s">
        <v>307</v>
      </c>
    </row>
    <row r="548" spans="1:7">
      <c r="E548" s="9" t="s">
        <v>408</v>
      </c>
      <c r="F548" s="127">
        <f>AVERAGE(F402:F547)</f>
        <v>2665.5582191780836</v>
      </c>
    </row>
    <row r="550" spans="1:7" ht="23.4">
      <c r="A550" s="124" t="s">
        <v>335</v>
      </c>
    </row>
    <row r="552" spans="1:7" ht="43.2">
      <c r="A552" s="128"/>
      <c r="B552" s="129" t="s">
        <v>158</v>
      </c>
      <c r="C552" s="130" t="s">
        <v>159</v>
      </c>
      <c r="D552" s="130" t="s">
        <v>160</v>
      </c>
      <c r="E552" s="131" t="s">
        <v>161</v>
      </c>
      <c r="F552" s="132" t="s">
        <v>162</v>
      </c>
    </row>
    <row r="553" spans="1:7">
      <c r="A553" s="133">
        <v>1</v>
      </c>
      <c r="B553" s="134" t="s">
        <v>585</v>
      </c>
      <c r="C553" s="91">
        <v>21.027799999999999</v>
      </c>
      <c r="D553" s="91">
        <v>45.0501</v>
      </c>
      <c r="E553" s="91">
        <v>89</v>
      </c>
      <c r="F553" s="135">
        <v>2596.4</v>
      </c>
    </row>
    <row r="554" spans="1:7">
      <c r="A554" s="133">
        <v>2</v>
      </c>
      <c r="B554" s="136" t="s">
        <v>597</v>
      </c>
      <c r="C554" s="91">
        <v>20.466799999999999</v>
      </c>
      <c r="D554" s="91">
        <v>44.796399999999998</v>
      </c>
      <c r="E554" s="91">
        <v>132</v>
      </c>
      <c r="F554" s="135">
        <v>2299</v>
      </c>
    </row>
    <row r="555" spans="1:7">
      <c r="A555" s="133">
        <v>3</v>
      </c>
      <c r="B555" s="134" t="s">
        <v>625</v>
      </c>
      <c r="C555" s="91">
        <v>21.5108</v>
      </c>
      <c r="D555" s="91">
        <v>44.746400000000001</v>
      </c>
      <c r="E555" s="91">
        <v>82</v>
      </c>
      <c r="F555" s="135">
        <v>2629.5</v>
      </c>
    </row>
    <row r="556" spans="1:7">
      <c r="A556" s="133">
        <v>4</v>
      </c>
      <c r="B556" s="134" t="s">
        <v>623</v>
      </c>
      <c r="C556" s="91">
        <v>19.910599999999999</v>
      </c>
      <c r="D556" s="91">
        <v>44.279800000000002</v>
      </c>
      <c r="E556" s="91">
        <v>176</v>
      </c>
      <c r="F556" s="135">
        <v>2557.6</v>
      </c>
    </row>
    <row r="557" spans="1:7">
      <c r="A557" s="133">
        <v>5</v>
      </c>
      <c r="B557" s="134" t="s">
        <v>619</v>
      </c>
      <c r="C557" s="91">
        <v>21.916899999999998</v>
      </c>
      <c r="D557" s="91">
        <v>42.55</v>
      </c>
      <c r="E557" s="91">
        <v>432</v>
      </c>
      <c r="F557" s="135">
        <v>2662.9</v>
      </c>
    </row>
    <row r="558" spans="1:7">
      <c r="A558" s="133">
        <v>6</v>
      </c>
      <c r="B558" s="134" t="s">
        <v>639</v>
      </c>
      <c r="C558" s="91">
        <v>22.789100000000001</v>
      </c>
      <c r="D558" s="91">
        <v>43.013199999999998</v>
      </c>
      <c r="E558" s="91">
        <v>450</v>
      </c>
      <c r="F558" s="135">
        <v>2957.7</v>
      </c>
    </row>
    <row r="559" spans="1:7">
      <c r="A559" s="133">
        <v>7</v>
      </c>
      <c r="B559" s="134" t="s">
        <v>616</v>
      </c>
      <c r="C559" s="91">
        <v>22.292400000000001</v>
      </c>
      <c r="D559" s="91">
        <v>43.879899999999999</v>
      </c>
      <c r="E559" s="91">
        <v>144</v>
      </c>
      <c r="F559" s="135">
        <v>2792.3</v>
      </c>
    </row>
    <row r="560" spans="1:7">
      <c r="A560" s="133">
        <v>8</v>
      </c>
      <c r="B560" s="134" t="s">
        <v>715</v>
      </c>
      <c r="C560" s="91">
        <v>19.716699999999999</v>
      </c>
      <c r="D560" s="91">
        <v>43.7333</v>
      </c>
      <c r="E560" s="91">
        <v>1028</v>
      </c>
      <c r="F560" s="135">
        <v>3633.9</v>
      </c>
    </row>
    <row r="561" spans="1:6">
      <c r="A561" s="133">
        <v>9</v>
      </c>
      <c r="B561" s="134" t="s">
        <v>645</v>
      </c>
      <c r="C561" s="91">
        <v>20.357600000000001</v>
      </c>
      <c r="D561" s="91">
        <v>45.396299999999997</v>
      </c>
      <c r="E561" s="91">
        <v>80</v>
      </c>
      <c r="F561" s="135">
        <v>2589.6999999999998</v>
      </c>
    </row>
    <row r="562" spans="1:6">
      <c r="A562" s="133">
        <v>10</v>
      </c>
      <c r="B562" s="134" t="s">
        <v>653</v>
      </c>
      <c r="C562" s="91">
        <v>20.476500000000001</v>
      </c>
      <c r="D562" s="91">
        <v>45.846299999999999</v>
      </c>
      <c r="E562" s="91">
        <v>81</v>
      </c>
      <c r="F562" s="135">
        <v>2644.2</v>
      </c>
    </row>
    <row r="563" spans="1:6">
      <c r="A563" s="133">
        <v>11</v>
      </c>
      <c r="B563" s="134" t="s">
        <v>719</v>
      </c>
      <c r="C563" s="91">
        <v>20.8</v>
      </c>
      <c r="D563" s="91">
        <v>43.283000000000001</v>
      </c>
      <c r="E563" s="91">
        <v>1710</v>
      </c>
      <c r="F563" s="135">
        <v>5143.7</v>
      </c>
    </row>
    <row r="564" spans="1:6">
      <c r="A564" s="133">
        <v>12</v>
      </c>
      <c r="B564" s="134" t="s">
        <v>599</v>
      </c>
      <c r="C564" s="91">
        <v>20.9297</v>
      </c>
      <c r="D564" s="91">
        <v>44.029800000000002</v>
      </c>
      <c r="E564" s="91">
        <v>185</v>
      </c>
      <c r="F564" s="135">
        <v>2530.9</v>
      </c>
    </row>
    <row r="565" spans="1:6">
      <c r="A565" s="133">
        <v>13</v>
      </c>
      <c r="B565" s="134" t="s">
        <v>633</v>
      </c>
      <c r="C565" s="91">
        <v>20.693200000000001</v>
      </c>
      <c r="D565" s="91">
        <v>43.713200000000001</v>
      </c>
      <c r="E565" s="91">
        <v>215</v>
      </c>
      <c r="F565" s="135">
        <v>2579.4</v>
      </c>
    </row>
    <row r="566" spans="1:6">
      <c r="A566" s="133">
        <v>14</v>
      </c>
      <c r="B566" s="134" t="s">
        <v>581</v>
      </c>
      <c r="C566" s="91">
        <v>21.3521</v>
      </c>
      <c r="D566" s="91">
        <v>43.563200000000002</v>
      </c>
      <c r="E566" s="91">
        <v>166</v>
      </c>
      <c r="F566" s="135">
        <v>2588.6</v>
      </c>
    </row>
    <row r="567" spans="1:6">
      <c r="A567" s="133">
        <v>15</v>
      </c>
      <c r="B567" s="134" t="s">
        <v>610</v>
      </c>
      <c r="C567" s="91">
        <v>21.266999999999999</v>
      </c>
      <c r="D567" s="91">
        <v>43.133000000000003</v>
      </c>
      <c r="E567" s="91">
        <v>380</v>
      </c>
      <c r="F567" s="135">
        <v>2823.3</v>
      </c>
    </row>
    <row r="568" spans="1:6">
      <c r="A568" s="133">
        <v>16</v>
      </c>
      <c r="B568" s="134" t="s">
        <v>614</v>
      </c>
      <c r="C568" s="91">
        <v>21.970300000000002</v>
      </c>
      <c r="D568" s="91">
        <v>42.979900000000001</v>
      </c>
      <c r="E568" s="91">
        <v>230</v>
      </c>
      <c r="F568" s="135">
        <v>2681.2</v>
      </c>
    </row>
    <row r="569" spans="1:6">
      <c r="A569" s="133">
        <v>17</v>
      </c>
      <c r="B569" s="134" t="s">
        <v>627</v>
      </c>
      <c r="C569" s="91">
        <v>19.2333</v>
      </c>
      <c r="D569" s="91">
        <v>44.55</v>
      </c>
      <c r="E569" s="91">
        <v>121</v>
      </c>
      <c r="F569" s="135">
        <v>2478.6999999999998</v>
      </c>
    </row>
    <row r="570" spans="1:6">
      <c r="A570" s="133">
        <v>18</v>
      </c>
      <c r="B570" s="134" t="s">
        <v>667</v>
      </c>
      <c r="C570" s="91">
        <v>22.552499999999998</v>
      </c>
      <c r="D570" s="91">
        <v>44.229799999999997</v>
      </c>
      <c r="E570" s="91">
        <v>42</v>
      </c>
      <c r="F570" s="135">
        <v>2567.9</v>
      </c>
    </row>
    <row r="571" spans="1:6">
      <c r="A571" s="133">
        <v>19</v>
      </c>
      <c r="B571" s="134" t="s">
        <v>583</v>
      </c>
      <c r="C571" s="91">
        <v>21.913799999999998</v>
      </c>
      <c r="D571" s="91">
        <v>43.329799999999999</v>
      </c>
      <c r="E571" s="91">
        <v>201</v>
      </c>
      <c r="F571" s="135">
        <v>2476.6999999999998</v>
      </c>
    </row>
    <row r="572" spans="1:6">
      <c r="A572" s="133">
        <v>20</v>
      </c>
      <c r="B572" s="134" t="s">
        <v>601</v>
      </c>
      <c r="C572" s="91">
        <v>19.8644</v>
      </c>
      <c r="D572" s="91">
        <v>45.329700000000003</v>
      </c>
      <c r="E572" s="91">
        <v>84</v>
      </c>
      <c r="F572" s="135">
        <v>2604.1999999999998</v>
      </c>
    </row>
    <row r="573" spans="1:6">
      <c r="A573" s="133">
        <v>21</v>
      </c>
      <c r="B573" s="134" t="s">
        <v>652</v>
      </c>
      <c r="C573" s="91">
        <v>19.7667</v>
      </c>
      <c r="D573" s="91">
        <v>46.1</v>
      </c>
      <c r="E573" s="91">
        <v>102</v>
      </c>
      <c r="F573" s="135">
        <v>2779.2</v>
      </c>
    </row>
    <row r="574" spans="1:6">
      <c r="A574" s="133">
        <v>22</v>
      </c>
      <c r="B574" s="134" t="s">
        <v>591</v>
      </c>
      <c r="C574" s="91">
        <v>20.020099999999999</v>
      </c>
      <c r="D574" s="91">
        <v>43.829799999999999</v>
      </c>
      <c r="E574" s="91">
        <v>310</v>
      </c>
      <c r="F574" s="135">
        <v>3062</v>
      </c>
    </row>
    <row r="575" spans="1:6">
      <c r="A575" s="133">
        <v>23</v>
      </c>
      <c r="B575" s="134" t="s">
        <v>612</v>
      </c>
      <c r="C575" s="91">
        <v>19.633299999999998</v>
      </c>
      <c r="D575" s="91">
        <v>44.966700000000003</v>
      </c>
      <c r="E575" s="91">
        <v>81</v>
      </c>
      <c r="F575" s="135">
        <v>2628.9</v>
      </c>
    </row>
    <row r="576" spans="1:6">
      <c r="A576" s="133">
        <v>24</v>
      </c>
      <c r="B576" s="134" t="s">
        <v>589</v>
      </c>
      <c r="C576" s="91">
        <v>20.9468</v>
      </c>
      <c r="D576" s="91">
        <v>44.363100000000003</v>
      </c>
      <c r="E576" s="91">
        <v>122</v>
      </c>
      <c r="F576" s="135">
        <v>2554.6</v>
      </c>
    </row>
    <row r="577" spans="1:6">
      <c r="A577" s="133">
        <v>25</v>
      </c>
      <c r="B577" s="134" t="s">
        <v>674</v>
      </c>
      <c r="C577" s="91">
        <v>20.0167</v>
      </c>
      <c r="D577" s="91">
        <v>43.2667</v>
      </c>
      <c r="E577" s="91">
        <v>1038</v>
      </c>
      <c r="F577" s="135">
        <v>3956</v>
      </c>
    </row>
    <row r="578" spans="1:6">
      <c r="A578" s="133">
        <v>26</v>
      </c>
      <c r="B578" s="134" t="s">
        <v>587</v>
      </c>
      <c r="C578" s="91">
        <v>19.124700000000001</v>
      </c>
      <c r="D578" s="91">
        <v>45.779699999999998</v>
      </c>
      <c r="E578" s="91">
        <v>88</v>
      </c>
      <c r="F578" s="135">
        <v>2686.2</v>
      </c>
    </row>
    <row r="579" spans="1:6">
      <c r="A579" s="133">
        <v>27</v>
      </c>
      <c r="B579" s="134" t="s">
        <v>638</v>
      </c>
      <c r="C579" s="91">
        <v>21.366700000000002</v>
      </c>
      <c r="D579" s="91">
        <v>43.9298</v>
      </c>
      <c r="E579" s="91">
        <v>123</v>
      </c>
      <c r="F579" s="135">
        <v>2666.2</v>
      </c>
    </row>
    <row r="580" spans="1:6">
      <c r="A580" s="133">
        <v>28</v>
      </c>
      <c r="B580" s="134" t="s">
        <v>643</v>
      </c>
      <c r="C580" s="91">
        <v>21.964300000000001</v>
      </c>
      <c r="D580" s="91">
        <v>44.1297</v>
      </c>
      <c r="E580" s="91">
        <v>1033</v>
      </c>
      <c r="F580" s="135">
        <v>4049</v>
      </c>
    </row>
    <row r="581" spans="1:6">
      <c r="A581" s="133">
        <v>29</v>
      </c>
      <c r="B581" s="137" t="s">
        <v>606</v>
      </c>
      <c r="C581" s="138">
        <v>21.316666666666666</v>
      </c>
      <c r="D581" s="138">
        <v>45.15</v>
      </c>
      <c r="E581" s="138">
        <v>84</v>
      </c>
      <c r="F581" s="135">
        <v>2521</v>
      </c>
    </row>
    <row r="582" spans="1:6">
      <c r="A582" s="133">
        <v>30</v>
      </c>
      <c r="B582" s="139" t="s">
        <v>680</v>
      </c>
      <c r="C582" s="138">
        <v>20.283333333333335</v>
      </c>
      <c r="D582" s="138">
        <v>44.81666666666667</v>
      </c>
      <c r="E582" s="138">
        <v>96</v>
      </c>
      <c r="F582" s="135">
        <v>2482.5</v>
      </c>
    </row>
    <row r="583" spans="1:6">
      <c r="A583" s="133">
        <v>31</v>
      </c>
      <c r="B583" s="139" t="s">
        <v>720</v>
      </c>
      <c r="C583" s="140">
        <v>20.424374</v>
      </c>
      <c r="D583" s="138">
        <v>44.770991670000001</v>
      </c>
      <c r="E583" s="138">
        <v>193</v>
      </c>
      <c r="F583" s="135">
        <v>2413.6999999999998</v>
      </c>
    </row>
    <row r="584" spans="1:6">
      <c r="A584" s="133">
        <v>32</v>
      </c>
      <c r="B584" s="134" t="s">
        <v>721</v>
      </c>
      <c r="C584" s="91">
        <v>20.933299999999999</v>
      </c>
      <c r="D584" s="91">
        <v>43.2333</v>
      </c>
      <c r="E584" s="91">
        <v>880</v>
      </c>
      <c r="F584" s="135">
        <v>3364.6</v>
      </c>
    </row>
    <row r="585" spans="1:6">
      <c r="A585" s="133">
        <v>33</v>
      </c>
      <c r="B585" s="134" t="s">
        <v>621</v>
      </c>
      <c r="C585" s="91">
        <v>20.75</v>
      </c>
      <c r="D585" s="91">
        <v>43.383299999999998</v>
      </c>
      <c r="E585" s="91">
        <v>555</v>
      </c>
      <c r="F585" s="135">
        <v>3008.5</v>
      </c>
    </row>
    <row r="586" spans="1:6">
      <c r="A586" s="133">
        <v>34</v>
      </c>
      <c r="B586" s="134" t="s">
        <v>722</v>
      </c>
      <c r="C586" s="91">
        <v>20.416699999999999</v>
      </c>
      <c r="D586" s="91">
        <v>43.716700000000003</v>
      </c>
      <c r="E586" s="91">
        <v>570</v>
      </c>
      <c r="F586" s="135">
        <v>2913.9</v>
      </c>
    </row>
    <row r="587" spans="1:6">
      <c r="A587" s="133">
        <v>35</v>
      </c>
      <c r="B587" s="134" t="s">
        <v>593</v>
      </c>
      <c r="C587" s="91">
        <v>22.6</v>
      </c>
      <c r="D587" s="91">
        <v>43.15</v>
      </c>
      <c r="E587" s="91">
        <v>370</v>
      </c>
      <c r="F587" s="135">
        <v>2613.1</v>
      </c>
    </row>
    <row r="588" spans="1:6">
      <c r="A588" s="133">
        <v>36</v>
      </c>
      <c r="B588" s="137" t="s">
        <v>723</v>
      </c>
      <c r="C588" s="140">
        <v>21.020552779999999</v>
      </c>
      <c r="D588" s="140">
        <v>43.91946944</v>
      </c>
      <c r="E588" s="138">
        <v>419</v>
      </c>
      <c r="F588" s="135">
        <v>3154</v>
      </c>
    </row>
    <row r="589" spans="1:6">
      <c r="A589" s="133">
        <v>37</v>
      </c>
      <c r="B589" s="137" t="s">
        <v>724</v>
      </c>
      <c r="C589" s="138">
        <v>21.946391670000001</v>
      </c>
      <c r="D589" s="138">
        <v>42.791288889999997</v>
      </c>
      <c r="E589" s="138">
        <v>1438</v>
      </c>
      <c r="F589" s="141">
        <v>4371.8999999999996</v>
      </c>
    </row>
    <row r="590" spans="1:6">
      <c r="A590" s="133">
        <v>38</v>
      </c>
      <c r="B590" s="137" t="s">
        <v>725</v>
      </c>
      <c r="C590" s="138">
        <v>19.973280559999999</v>
      </c>
      <c r="D590" s="138">
        <v>43.261741669999999</v>
      </c>
      <c r="E590" s="138">
        <v>1240</v>
      </c>
      <c r="F590" s="141">
        <v>3968.6</v>
      </c>
    </row>
    <row r="591" spans="1:6">
      <c r="A591" s="133">
        <v>39</v>
      </c>
      <c r="B591" s="134" t="s">
        <v>726</v>
      </c>
      <c r="C591" s="91">
        <v>21.266666666666666</v>
      </c>
      <c r="D591" s="91">
        <v>43.616666666666667</v>
      </c>
      <c r="E591" s="91">
        <v>403</v>
      </c>
      <c r="F591" s="141">
        <v>2730.8</v>
      </c>
    </row>
    <row r="592" spans="1:6">
      <c r="A592" s="133">
        <v>40</v>
      </c>
      <c r="B592" s="134" t="s">
        <v>727</v>
      </c>
      <c r="C592" s="91">
        <v>19.916666666666668</v>
      </c>
      <c r="D592" s="91">
        <v>44.383333333333333</v>
      </c>
      <c r="E592" s="91">
        <v>388</v>
      </c>
      <c r="F592" s="141">
        <v>2610.4</v>
      </c>
    </row>
    <row r="593" spans="1:6">
      <c r="A593" s="133">
        <v>41</v>
      </c>
      <c r="B593" s="134" t="s">
        <v>728</v>
      </c>
      <c r="C593" s="91">
        <v>21.95</v>
      </c>
      <c r="D593" s="91">
        <v>43.4</v>
      </c>
      <c r="E593" s="91">
        <v>813</v>
      </c>
      <c r="F593" s="141">
        <v>3388.3</v>
      </c>
    </row>
    <row r="594" spans="1:6">
      <c r="A594" s="133">
        <v>42</v>
      </c>
      <c r="B594" s="134" t="s">
        <v>729</v>
      </c>
      <c r="C594" s="91">
        <v>21.316666666666666</v>
      </c>
      <c r="D594" s="91">
        <v>44.31666666666667</v>
      </c>
      <c r="E594" s="91">
        <v>282</v>
      </c>
      <c r="F594" s="141">
        <v>2593.9</v>
      </c>
    </row>
    <row r="595" spans="1:6">
      <c r="A595" s="133">
        <v>43</v>
      </c>
      <c r="B595" s="134" t="s">
        <v>692</v>
      </c>
      <c r="C595" s="91">
        <v>19.783333333333335</v>
      </c>
      <c r="D595" s="91">
        <v>43.883333333333333</v>
      </c>
      <c r="E595" s="91">
        <v>833</v>
      </c>
      <c r="F595" s="141">
        <v>3190.6</v>
      </c>
    </row>
    <row r="596" spans="1:6">
      <c r="A596" s="133">
        <v>44</v>
      </c>
      <c r="B596" s="134" t="s">
        <v>730</v>
      </c>
      <c r="C596" s="91">
        <v>20.816700000000001</v>
      </c>
      <c r="D596" s="91">
        <v>44.133299999999998</v>
      </c>
      <c r="E596" s="91">
        <v>365</v>
      </c>
      <c r="F596" s="135">
        <v>2681.3</v>
      </c>
    </row>
    <row r="597" spans="1:6">
      <c r="A597" s="133">
        <v>45</v>
      </c>
      <c r="B597" s="134" t="s">
        <v>731</v>
      </c>
      <c r="C597" s="91">
        <v>21.383333333333333</v>
      </c>
      <c r="D597" s="91">
        <v>43.43333333333333</v>
      </c>
      <c r="E597" s="91">
        <v>575</v>
      </c>
      <c r="F597" s="135">
        <v>2662.5</v>
      </c>
    </row>
    <row r="598" spans="1:6">
      <c r="A598" s="133">
        <v>46</v>
      </c>
      <c r="B598" s="134" t="s">
        <v>732</v>
      </c>
      <c r="C598" s="91">
        <v>20.100000000000001</v>
      </c>
      <c r="D598" s="91">
        <v>43.1</v>
      </c>
      <c r="E598" s="91">
        <v>1165</v>
      </c>
      <c r="F598" s="135">
        <v>4184.7</v>
      </c>
    </row>
    <row r="599" spans="1:6">
      <c r="A599" s="133">
        <v>47</v>
      </c>
      <c r="B599" s="134" t="s">
        <v>733</v>
      </c>
      <c r="C599" s="91">
        <v>19.383333333333333</v>
      </c>
      <c r="D599" s="91">
        <v>44.366666666666667</v>
      </c>
      <c r="E599" s="91">
        <v>280</v>
      </c>
      <c r="F599" s="135">
        <v>2956.4</v>
      </c>
    </row>
    <row r="600" spans="1:6">
      <c r="A600" s="133">
        <v>48</v>
      </c>
      <c r="B600" s="134" t="s">
        <v>595</v>
      </c>
      <c r="C600" s="91">
        <v>19.383333333333333</v>
      </c>
      <c r="D600" s="91">
        <v>44.18333333333333</v>
      </c>
      <c r="E600" s="91">
        <v>170</v>
      </c>
      <c r="F600" s="135">
        <v>2627.9</v>
      </c>
    </row>
  </sheetData>
  <sheetProtection selectLockedCells="1"/>
  <mergeCells count="8">
    <mergeCell ref="A116:D116"/>
    <mergeCell ref="N12:O12"/>
    <mergeCell ref="K122:L122"/>
    <mergeCell ref="L2:AD2"/>
    <mergeCell ref="L3:AD3"/>
    <mergeCell ref="L4:AD4"/>
    <mergeCell ref="L5:AD5"/>
    <mergeCell ref="G42:H43"/>
  </mergeCells>
  <dataValidations disablePrompts="1" count="11">
    <dataValidation allowBlank="1" showInputMessage="1" showErrorMessage="1" error="ПРОВЕРА!" promptTitle="Тип топлотне пумпе:" prompt="ИЗАБРАТИ ИЗ ПАДАЈУЋЕ ЛИСТЕ" sqref="C134" xr:uid="{F6B8E2F1-44FF-41B6-A012-B7F672C74DBF}"/>
    <dataValidation type="list" allowBlank="1" showInputMessage="1" showErrorMessage="1" sqref="D402:D547" xr:uid="{17702240-B8BA-4619-A7BC-AD4BE6434121}">
      <formula1>$B$464:$B$511</formula1>
    </dataValidation>
    <dataValidation allowBlank="1" showInputMessage="1" showErrorMessage="1" error="ПРОВЕРИТИ УНЕТУ ВРЕДНОСТ!" promptTitle="УНЕТИ ВРЕДНОСТ У ПРОЦЕНТИМА" prompt="ЗА КОТАО НА ПЕЛЕТ &gt;85_x000a_ЗА КОТАО НА ГАС &gt;90" sqref="C132" xr:uid="{EFA32D27-ED1E-495C-96B4-9D5958C265B5}"/>
    <dataValidation allowBlank="1" showInputMessage="1" showErrorMessage="1" error="ПРОВЕРИТИ ВРЕДНОСТ!" promptTitle="SCOP" prompt="ТОПЛОТНЕ ПУМПЕ ЧИЈИ ЈЕ_x000a_ТОПЛОТНИ ИЗВОР_x000a_ВАЗДУХ  &gt;3,4_x000a_ЗЕМЉА  &gt; 4,0_x000a_ВОДА  &gt; 4,5" sqref="C133" xr:uid="{F4D7FA38-60CF-453A-A263-AA49A0D59FD4}"/>
    <dataValidation type="decimal" allowBlank="1" showInputMessage="1" showErrorMessage="1" error="ПРОВЕРИТИ УНЕТУ ВРЕДНОСТ!" promptTitle="УНЕТИ ВРЕДНОСТ У ПРОЦЕНТИМА" prompt="У ИНТЕРВАЛУ 0-100" sqref="C178" xr:uid="{142FA3EA-0435-4A84-9F8D-94FFF3313A7C}">
      <formula1>0</formula1>
      <formula2>1</formula2>
    </dataValidation>
    <dataValidation type="decimal" operator="lessThanOrEqual" allowBlank="1" showInputMessage="1" showErrorMessage="1" error="ПРОВЕРИТИ УНОС!" promptTitle="КОЕФИЦИЈЕНТ ПРОВОЂЕЊА ТОПЛОТЕ" prompt="ВРЕДНОСТ МОЖЕ БИТИ НАЈВИШЕ 1,3" sqref="F74:F75" xr:uid="{1FA535F8-1DD1-45F1-B767-F2A480B06DE1}">
      <formula1>1.3</formula1>
    </dataValidation>
    <dataValidation type="decimal" operator="lessThanOrEqual" allowBlank="1" showInputMessage="1" showErrorMessage="1" error="ПРОВЕРИТИ УНОС!" promptTitle="КОЕФИЦИЈЕНТ ПРОВОЂЕЊА ТОПЛОТЕ" prompt="ВРЕДНОСТ МОЖЕ БИТИ НАЈВИШЕ 1,6" sqref="C81" xr:uid="{5E756892-2663-42DD-A733-2EF9B00EA62F}">
      <formula1>1.6</formula1>
    </dataValidation>
    <dataValidation type="decimal" operator="lessThanOrEqual" allowBlank="1" showInputMessage="1" showErrorMessage="1" error="ПРОВЕРИТИ УНОС!" promptTitle="КОЕФИЦИЈЕНТ ПРОВОЂЕЊА ТОПЛОТЕ" prompt="ВРЕДНОСТ КОЕФИЦИЈЕНАТА ЗА РАМ И ЗА СТАКЛО МОЖЕ БИТИ НАЈВИШЕ 1,3" sqref="C77" xr:uid="{87F07CCA-5A7A-4FFC-BBB7-0A05FCEC9F5D}">
      <formula1>1.5</formula1>
    </dataValidation>
    <dataValidation type="decimal" allowBlank="1" showInputMessage="1" showErrorMessage="1" errorTitle="УНЕТИ БРОЈЧАНУ ВРЕДНОСТ" error="ОБРАТИТИ ПАЖЊУ НА ЗАРЕЗ ( ТАЧКУ ) !" promptTitle="УНЕТИ ВРЕДНОСТ ИНВЕСТИЦИЈЕ" prompt="ОБРАТИТИ ПАЖЊУ НА ЗАРЕЗ ( ТАЧКУ ) !" sqref="C73 C127 C186 C173" xr:uid="{0CB18020-A3C1-4813-B79E-08EC6D1AD5BA}">
      <formula1>1000</formula1>
      <formula2>3000000</formula2>
    </dataValidation>
    <dataValidation allowBlank="1" showInputMessage="1" showErrorMessage="1" errorTitle="УНЕТИ БРОЈЧАНУ ВРЕДНОСТ" error="ОБРАТИТИ ПАЖЊУ НА ЗАРЕЗ ( ТАЧКУ ) !" promptTitle="УНЕТИ ВРЕДНОСТ ИНВЕСТИЦИЈЕ" prompt="ОБРАТИТИ ПАЖЊУ НА ЗАРЕЗ ( ТАЧКУ ) !" sqref="E119:I121" xr:uid="{181925CF-A76B-4C6B-99AC-846EE6CDB367}"/>
    <dataValidation allowBlank="1" showInputMessage="1" showErrorMessage="1" errorTitle="УНЕТИ БРОЈЧАНУ ВРЕДНОСТ" error="ОБРАТИТИ ПАЖЊУ НА ЗАРЕЗ ( ТАЧКУ ) !" sqref="E118:I118" xr:uid="{E0509C0F-BE0F-4389-B750-E2DB7CB23819}"/>
  </dataValidations>
  <pageMargins left="0.7" right="0.7" top="0.5" bottom="0.5" header="0.3" footer="0.3"/>
  <pageSetup paperSize="9" scale="62" orientation="portrait" r:id="rId1"/>
  <headerFooter>
    <oddFooter>&amp;Rстр.:&amp;P/&amp;N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46" r:id="rId4" name="Check Box 74">
              <controlPr locked="0" defaultSize="0" autoFill="0" autoLine="0" autoPict="0">
                <anchor moveWithCells="1">
                  <from>
                    <xdr:col>1</xdr:col>
                    <xdr:colOff>266700</xdr:colOff>
                    <xdr:row>7</xdr:row>
                    <xdr:rowOff>198120</xdr:rowOff>
                  </from>
                  <to>
                    <xdr:col>2</xdr:col>
                    <xdr:colOff>144780</xdr:colOff>
                    <xdr:row>8</xdr:row>
                    <xdr:rowOff>220980</xdr:rowOff>
                  </to>
                </anchor>
              </controlPr>
            </control>
          </mc:Choice>
        </mc:AlternateContent>
        <mc:AlternateContent xmlns:mc="http://schemas.openxmlformats.org/markup-compatibility/2006">
          <mc:Choice Requires="x14">
            <control shapeId="3147" r:id="rId5" name="Check Box 75">
              <controlPr locked="0" defaultSize="0" autoFill="0" autoLine="0" autoPict="0">
                <anchor moveWithCells="1">
                  <from>
                    <xdr:col>1</xdr:col>
                    <xdr:colOff>266700</xdr:colOff>
                    <xdr:row>8</xdr:row>
                    <xdr:rowOff>198120</xdr:rowOff>
                  </from>
                  <to>
                    <xdr:col>2</xdr:col>
                    <xdr:colOff>182880</xdr:colOff>
                    <xdr:row>9</xdr:row>
                    <xdr:rowOff>220980</xdr:rowOff>
                  </to>
                </anchor>
              </controlPr>
            </control>
          </mc:Choice>
        </mc:AlternateContent>
        <mc:AlternateContent xmlns:mc="http://schemas.openxmlformats.org/markup-compatibility/2006">
          <mc:Choice Requires="x14">
            <control shapeId="3148" r:id="rId6" name="Check Box 76">
              <controlPr locked="0" defaultSize="0" autoFill="0" autoLine="0" autoPict="0">
                <anchor moveWithCells="1">
                  <from>
                    <xdr:col>1</xdr:col>
                    <xdr:colOff>266700</xdr:colOff>
                    <xdr:row>9</xdr:row>
                    <xdr:rowOff>198120</xdr:rowOff>
                  </from>
                  <to>
                    <xdr:col>2</xdr:col>
                    <xdr:colOff>167640</xdr:colOff>
                    <xdr:row>10</xdr:row>
                    <xdr:rowOff>220980</xdr:rowOff>
                  </to>
                </anchor>
              </controlPr>
            </control>
          </mc:Choice>
        </mc:AlternateContent>
        <mc:AlternateContent xmlns:mc="http://schemas.openxmlformats.org/markup-compatibility/2006">
          <mc:Choice Requires="x14">
            <control shapeId="3149" r:id="rId7" name="Check Box 77">
              <controlPr locked="0" defaultSize="0" autoFill="0" autoLine="0" autoPict="0">
                <anchor moveWithCells="1">
                  <from>
                    <xdr:col>1</xdr:col>
                    <xdr:colOff>266700</xdr:colOff>
                    <xdr:row>10</xdr:row>
                    <xdr:rowOff>198120</xdr:rowOff>
                  </from>
                  <to>
                    <xdr:col>2</xdr:col>
                    <xdr:colOff>182880</xdr:colOff>
                    <xdr:row>11</xdr:row>
                    <xdr:rowOff>220980</xdr:rowOff>
                  </to>
                </anchor>
              </controlPr>
            </control>
          </mc:Choice>
        </mc:AlternateContent>
        <mc:AlternateContent xmlns:mc="http://schemas.openxmlformats.org/markup-compatibility/2006">
          <mc:Choice Requires="x14">
            <control shapeId="3227" r:id="rId8" name="Check Box 155">
              <controlPr locked="0" defaultSize="0" autoFill="0" autoLine="0" autoPict="0">
                <anchor moveWithCells="1">
                  <from>
                    <xdr:col>1</xdr:col>
                    <xdr:colOff>266700</xdr:colOff>
                    <xdr:row>138</xdr:row>
                    <xdr:rowOff>198120</xdr:rowOff>
                  </from>
                  <to>
                    <xdr:col>2</xdr:col>
                    <xdr:colOff>167640</xdr:colOff>
                    <xdr:row>140</xdr:row>
                    <xdr:rowOff>0</xdr:rowOff>
                  </to>
                </anchor>
              </controlPr>
            </control>
          </mc:Choice>
        </mc:AlternateContent>
        <mc:AlternateContent xmlns:mc="http://schemas.openxmlformats.org/markup-compatibility/2006">
          <mc:Choice Requires="x14">
            <control shapeId="3228" r:id="rId9" name="Check Box 156">
              <controlPr locked="0" defaultSize="0" autoFill="0" autoLine="0" autoPict="0">
                <anchor moveWithCells="1">
                  <from>
                    <xdr:col>1</xdr:col>
                    <xdr:colOff>266700</xdr:colOff>
                    <xdr:row>139</xdr:row>
                    <xdr:rowOff>198120</xdr:rowOff>
                  </from>
                  <to>
                    <xdr:col>2</xdr:col>
                    <xdr:colOff>167640</xdr:colOff>
                    <xdr:row>141</xdr:row>
                    <xdr:rowOff>0</xdr:rowOff>
                  </to>
                </anchor>
              </controlPr>
            </control>
          </mc:Choice>
        </mc:AlternateContent>
        <mc:AlternateContent xmlns:mc="http://schemas.openxmlformats.org/markup-compatibility/2006">
          <mc:Choice Requires="x14">
            <control shapeId="3239" r:id="rId10" name="Check Box 167">
              <controlPr locked="0" defaultSize="0" autoFill="0" autoLine="0" autoPict="0">
                <anchor moveWithCells="1">
                  <from>
                    <xdr:col>1</xdr:col>
                    <xdr:colOff>266700</xdr:colOff>
                    <xdr:row>149</xdr:row>
                    <xdr:rowOff>198120</xdr:rowOff>
                  </from>
                  <to>
                    <xdr:col>2</xdr:col>
                    <xdr:colOff>167640</xdr:colOff>
                    <xdr:row>151</xdr:row>
                    <xdr:rowOff>0</xdr:rowOff>
                  </to>
                </anchor>
              </controlPr>
            </control>
          </mc:Choice>
        </mc:AlternateContent>
        <mc:AlternateContent xmlns:mc="http://schemas.openxmlformats.org/markup-compatibility/2006">
          <mc:Choice Requires="x14">
            <control shapeId="3240" r:id="rId11" name="Check Box 168">
              <controlPr locked="0" defaultSize="0" autoFill="0" autoLine="0" autoPict="0">
                <anchor moveWithCells="1">
                  <from>
                    <xdr:col>1</xdr:col>
                    <xdr:colOff>266700</xdr:colOff>
                    <xdr:row>150</xdr:row>
                    <xdr:rowOff>198120</xdr:rowOff>
                  </from>
                  <to>
                    <xdr:col>2</xdr:col>
                    <xdr:colOff>167640</xdr:colOff>
                    <xdr:row>152</xdr:row>
                    <xdr:rowOff>0</xdr:rowOff>
                  </to>
                </anchor>
              </controlPr>
            </control>
          </mc:Choice>
        </mc:AlternateContent>
        <mc:AlternateContent xmlns:mc="http://schemas.openxmlformats.org/markup-compatibility/2006">
          <mc:Choice Requires="x14">
            <control shapeId="3241" r:id="rId12" name="Check Box 169">
              <controlPr locked="0" defaultSize="0" autoFill="0" autoLine="0" autoPict="0">
                <anchor moveWithCells="1">
                  <from>
                    <xdr:col>1</xdr:col>
                    <xdr:colOff>266700</xdr:colOff>
                    <xdr:row>151</xdr:row>
                    <xdr:rowOff>198120</xdr:rowOff>
                  </from>
                  <to>
                    <xdr:col>2</xdr:col>
                    <xdr:colOff>167640</xdr:colOff>
                    <xdr:row>153</xdr:row>
                    <xdr:rowOff>0</xdr:rowOff>
                  </to>
                </anchor>
              </controlPr>
            </control>
          </mc:Choice>
        </mc:AlternateContent>
        <mc:AlternateContent xmlns:mc="http://schemas.openxmlformats.org/markup-compatibility/2006">
          <mc:Choice Requires="x14">
            <control shapeId="3264" r:id="rId13" name="Check Box 192">
              <controlPr locked="0" defaultSize="0" autoFill="0" autoLine="0" autoPict="0">
                <anchor moveWithCells="1">
                  <from>
                    <xdr:col>8</xdr:col>
                    <xdr:colOff>266700</xdr:colOff>
                    <xdr:row>153</xdr:row>
                    <xdr:rowOff>30480</xdr:rowOff>
                  </from>
                  <to>
                    <xdr:col>9</xdr:col>
                    <xdr:colOff>91440</xdr:colOff>
                    <xdr:row>154</xdr:row>
                    <xdr:rowOff>30480</xdr:rowOff>
                  </to>
                </anchor>
              </controlPr>
            </control>
          </mc:Choice>
        </mc:AlternateContent>
        <mc:AlternateContent xmlns:mc="http://schemas.openxmlformats.org/markup-compatibility/2006">
          <mc:Choice Requires="x14">
            <control shapeId="3265" r:id="rId14" name="Check Box 193">
              <controlPr locked="0" defaultSize="0" autoFill="0" autoLine="0" autoPict="0">
                <anchor moveWithCells="1">
                  <from>
                    <xdr:col>9</xdr:col>
                    <xdr:colOff>266700</xdr:colOff>
                    <xdr:row>153</xdr:row>
                    <xdr:rowOff>30480</xdr:rowOff>
                  </from>
                  <to>
                    <xdr:col>10</xdr:col>
                    <xdr:colOff>76200</xdr:colOff>
                    <xdr:row>154</xdr:row>
                    <xdr:rowOff>30480</xdr:rowOff>
                  </to>
                </anchor>
              </controlPr>
            </control>
          </mc:Choice>
        </mc:AlternateContent>
        <mc:AlternateContent xmlns:mc="http://schemas.openxmlformats.org/markup-compatibility/2006">
          <mc:Choice Requires="x14">
            <control shapeId="3271" r:id="rId15" name="Check Box 199">
              <controlPr locked="0" defaultSize="0" autoFill="0" autoLine="0" autoPict="0">
                <anchor moveWithCells="1">
                  <from>
                    <xdr:col>1</xdr:col>
                    <xdr:colOff>266700</xdr:colOff>
                    <xdr:row>137</xdr:row>
                    <xdr:rowOff>198120</xdr:rowOff>
                  </from>
                  <to>
                    <xdr:col>2</xdr:col>
                    <xdr:colOff>167640</xdr:colOff>
                    <xdr:row>139</xdr:row>
                    <xdr:rowOff>0</xdr:rowOff>
                  </to>
                </anchor>
              </controlPr>
            </control>
          </mc:Choice>
        </mc:AlternateContent>
        <mc:AlternateContent xmlns:mc="http://schemas.openxmlformats.org/markup-compatibility/2006">
          <mc:Choice Requires="x14">
            <control shapeId="3272" r:id="rId16" name="Check Box 200">
              <controlPr locked="0" defaultSize="0" autoFill="0" autoLine="0" autoPict="0">
                <anchor moveWithCells="1">
                  <from>
                    <xdr:col>1</xdr:col>
                    <xdr:colOff>266700</xdr:colOff>
                    <xdr:row>138</xdr:row>
                    <xdr:rowOff>198120</xdr:rowOff>
                  </from>
                  <to>
                    <xdr:col>2</xdr:col>
                    <xdr:colOff>167640</xdr:colOff>
                    <xdr:row>140</xdr:row>
                    <xdr:rowOff>0</xdr:rowOff>
                  </to>
                </anchor>
              </controlPr>
            </control>
          </mc:Choice>
        </mc:AlternateContent>
        <mc:AlternateContent xmlns:mc="http://schemas.openxmlformats.org/markup-compatibility/2006">
          <mc:Choice Requires="x14">
            <control shapeId="3273" r:id="rId17" name="Check Box 201">
              <controlPr locked="0" defaultSize="0" autoFill="0" autoLine="0" autoPict="0">
                <anchor moveWithCells="1">
                  <from>
                    <xdr:col>1</xdr:col>
                    <xdr:colOff>266700</xdr:colOff>
                    <xdr:row>136</xdr:row>
                    <xdr:rowOff>198120</xdr:rowOff>
                  </from>
                  <to>
                    <xdr:col>2</xdr:col>
                    <xdr:colOff>167640</xdr:colOff>
                    <xdr:row>138</xdr:row>
                    <xdr:rowOff>0</xdr:rowOff>
                  </to>
                </anchor>
              </controlPr>
            </control>
          </mc:Choice>
        </mc:AlternateContent>
        <mc:AlternateContent xmlns:mc="http://schemas.openxmlformats.org/markup-compatibility/2006">
          <mc:Choice Requires="x14">
            <control shapeId="3274" r:id="rId18" name="Check Box 202">
              <controlPr locked="0" defaultSize="0" autoFill="0" autoLine="0" autoPict="0">
                <anchor moveWithCells="1">
                  <from>
                    <xdr:col>1</xdr:col>
                    <xdr:colOff>266700</xdr:colOff>
                    <xdr:row>137</xdr:row>
                    <xdr:rowOff>198120</xdr:rowOff>
                  </from>
                  <to>
                    <xdr:col>2</xdr:col>
                    <xdr:colOff>167640</xdr:colOff>
                    <xdr:row>139</xdr:row>
                    <xdr:rowOff>0</xdr:rowOff>
                  </to>
                </anchor>
              </controlPr>
            </control>
          </mc:Choice>
        </mc:AlternateContent>
        <mc:AlternateContent xmlns:mc="http://schemas.openxmlformats.org/markup-compatibility/2006">
          <mc:Choice Requires="x14">
            <control shapeId="3275" r:id="rId19" name="Check Box 203">
              <controlPr locked="0" defaultSize="0" autoFill="0" autoLine="0" autoPict="0">
                <anchor moveWithCells="1">
                  <from>
                    <xdr:col>1</xdr:col>
                    <xdr:colOff>266700</xdr:colOff>
                    <xdr:row>136</xdr:row>
                    <xdr:rowOff>198120</xdr:rowOff>
                  </from>
                  <to>
                    <xdr:col>2</xdr:col>
                    <xdr:colOff>167640</xdr:colOff>
                    <xdr:row>138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37BD-A332-46B1-A810-A25AA4345E2C}">
  <sheetPr codeName="Sheet3"/>
  <dimension ref="A1:W32"/>
  <sheetViews>
    <sheetView zoomScaleNormal="100" workbookViewId="0">
      <selection activeCell="N17" sqref="N17"/>
    </sheetView>
  </sheetViews>
  <sheetFormatPr defaultRowHeight="14.4"/>
  <cols>
    <col min="1" max="1" width="44.6640625" customWidth="1"/>
    <col min="2" max="2" width="25.6640625" customWidth="1"/>
    <col min="3" max="3" width="20.6640625" customWidth="1"/>
    <col min="12" max="12" width="9.88671875" bestFit="1" customWidth="1"/>
  </cols>
  <sheetData>
    <row r="1" spans="1:23">
      <c r="A1" t="str">
        <f>'O KALKULATORU'!A1</f>
        <v>12.11.24</v>
      </c>
      <c r="B1" t="str">
        <f>'O KALKULATORU'!B1</f>
        <v xml:space="preserve"> -верзија</v>
      </c>
      <c r="P1" t="str">
        <f>'O KALKULATORU'!P1</f>
        <v>Аутор:</v>
      </c>
      <c r="Q1" t="str">
        <f>'O KALKULATORU'!Q1</f>
        <v>Живојин Ступаревић, дипл.инш.маш.</v>
      </c>
    </row>
    <row r="4" spans="1:23">
      <c r="B4" s="6"/>
      <c r="C4" s="7"/>
      <c r="W4" s="6"/>
    </row>
    <row r="5" spans="1:23" ht="23.4">
      <c r="B5" s="371" t="s">
        <v>340</v>
      </c>
      <c r="C5" s="372"/>
      <c r="W5" s="6"/>
    </row>
    <row r="6" spans="1:23" ht="18">
      <c r="B6" s="373"/>
      <c r="C6" s="372"/>
      <c r="W6" s="6"/>
    </row>
    <row r="7" spans="1:23" ht="24" thickBot="1">
      <c r="B7" s="374" t="s">
        <v>384</v>
      </c>
      <c r="C7" s="372"/>
      <c r="D7" s="624" t="s">
        <v>339</v>
      </c>
      <c r="E7" s="624"/>
      <c r="F7" s="624"/>
      <c r="G7" s="624"/>
      <c r="H7" s="624"/>
      <c r="I7" s="624"/>
      <c r="J7" s="624"/>
      <c r="K7" s="624"/>
      <c r="L7" s="624"/>
      <c r="W7" s="6"/>
    </row>
    <row r="8" spans="1:23" ht="23.4">
      <c r="B8" s="375" t="s">
        <v>341</v>
      </c>
      <c r="C8" s="376"/>
      <c r="D8" s="377">
        <v>1</v>
      </c>
      <c r="E8" s="377">
        <v>2</v>
      </c>
      <c r="F8" s="377">
        <v>3</v>
      </c>
      <c r="G8" s="377">
        <v>4</v>
      </c>
      <c r="H8" s="377">
        <v>5</v>
      </c>
      <c r="I8" s="377">
        <v>6</v>
      </c>
      <c r="J8" s="377">
        <v>7</v>
      </c>
      <c r="K8" s="377">
        <v>8</v>
      </c>
      <c r="L8" s="377">
        <v>9</v>
      </c>
      <c r="W8" s="6"/>
    </row>
    <row r="9" spans="1:23" ht="21" thickBot="1">
      <c r="B9" s="378" t="s">
        <v>252</v>
      </c>
      <c r="C9" s="1">
        <f>SUM(D9:L9)</f>
        <v>7419.1407592041269</v>
      </c>
      <c r="D9" s="2">
        <f>IF(UNOS!K14,KALKULATOR!B93,0)</f>
        <v>3570.3512429042235</v>
      </c>
      <c r="E9" s="2">
        <f>IF(UNOS!K15,KALKULATOR!B125+KALKULATOR!C125+KALKULATOR!D125,0)</f>
        <v>0</v>
      </c>
      <c r="F9" s="2">
        <f>IF(UNOS!K16,KALKULATOR!E125+KALKULATOR!F125,0)</f>
        <v>3848.789516299903</v>
      </c>
      <c r="G9" s="379" t="s">
        <v>2</v>
      </c>
      <c r="H9" s="379" t="s">
        <v>2</v>
      </c>
      <c r="I9" s="379" t="s">
        <v>2</v>
      </c>
      <c r="J9" s="379" t="s">
        <v>2</v>
      </c>
      <c r="K9" s="2">
        <f>IF(UNOS!K21,KALKULATOR!B266,0)</f>
        <v>0</v>
      </c>
      <c r="L9" s="379" t="s">
        <v>2</v>
      </c>
      <c r="M9" s="380" t="s">
        <v>342</v>
      </c>
    </row>
    <row r="10" spans="1:23" ht="23.4">
      <c r="B10" s="375" t="s">
        <v>479</v>
      </c>
      <c r="C10" s="376"/>
      <c r="D10" s="381"/>
      <c r="E10" s="381"/>
      <c r="F10" s="381"/>
      <c r="G10" s="381"/>
      <c r="H10" s="381"/>
      <c r="I10" s="381"/>
      <c r="J10" s="381"/>
      <c r="K10" s="381"/>
      <c r="L10" s="381"/>
      <c r="M10" s="382"/>
      <c r="W10" s="6"/>
    </row>
    <row r="11" spans="1:23" ht="21" thickBot="1">
      <c r="B11" s="378" t="s">
        <v>252</v>
      </c>
      <c r="C11" s="1">
        <f>SUM(D11:L11)</f>
        <v>15216.35756517865</v>
      </c>
      <c r="D11" s="2">
        <f>IF(UNOS!K14,KALKULATOR!B94,0)</f>
        <v>6007.4559881952873</v>
      </c>
      <c r="E11" s="2">
        <f>IF(UNOS!K15,KALKULATOR!B126+KALKULATOR!C126+KALKULATOR!D126,0)</f>
        <v>0</v>
      </c>
      <c r="F11" s="2">
        <f>IF(UNOS!K16,KALKULATOR!E126+KALKULATOR!F126,0)</f>
        <v>6475.9549002219383</v>
      </c>
      <c r="G11" s="2">
        <f>IF(UNOS!K17,KALKULATOR!B166,0)</f>
        <v>0</v>
      </c>
      <c r="H11" s="2">
        <f>IF(UNOS!K18,KALKULATOR!B184,0)</f>
        <v>2195.317822316556</v>
      </c>
      <c r="I11" s="2">
        <f>IF(UNOS!K19,KALKULATOR!B203,0)</f>
        <v>0</v>
      </c>
      <c r="J11" s="2">
        <f>IF(UNOS!K20,KALKULATOR!B223,0)</f>
        <v>537.62885444486892</v>
      </c>
      <c r="K11" s="2">
        <f>IF(UNOS!K21,KALKULATOR!B270,0)</f>
        <v>0</v>
      </c>
      <c r="L11" s="2">
        <f>IF(UNOS!K22,KALKULATOR!B297,0)</f>
        <v>0</v>
      </c>
      <c r="M11" s="380" t="s">
        <v>182</v>
      </c>
    </row>
    <row r="12" spans="1:23" ht="23.4">
      <c r="B12" s="375" t="s">
        <v>154</v>
      </c>
      <c r="C12" s="376"/>
      <c r="D12" s="383"/>
      <c r="E12" s="383"/>
      <c r="F12" s="383"/>
      <c r="G12" s="383"/>
      <c r="H12" s="383"/>
      <c r="I12" s="383"/>
      <c r="J12" s="383"/>
      <c r="K12" s="383"/>
      <c r="L12" s="383"/>
      <c r="M12" s="382"/>
      <c r="W12" s="6"/>
    </row>
    <row r="13" spans="1:23" ht="21" thickBot="1">
      <c r="B13" s="378" t="s">
        <v>252</v>
      </c>
      <c r="C13" s="1">
        <f>SUM(D13:L13)</f>
        <v>15216.35756517865</v>
      </c>
      <c r="D13" s="2">
        <f>IF(UNOS!K14,KALKULATOR!B95,0)</f>
        <v>6007.4559881952873</v>
      </c>
      <c r="E13" s="2">
        <f>IF(UNOS!K15,KALKULATOR!B127+KALKULATOR!C127+KALKULATOR!D127,0)</f>
        <v>0</v>
      </c>
      <c r="F13" s="2">
        <f>IF(UNOS!K16,KALKULATOR!E127+KALKULATOR!F127,0)</f>
        <v>6475.9549002219383</v>
      </c>
      <c r="G13" s="2">
        <f>IF(UNOS!K17,KALKULATOR!B169,0)</f>
        <v>0</v>
      </c>
      <c r="H13" s="2">
        <f>IF(UNOS!K18,KALKULATOR!B187,0)</f>
        <v>2195.317822316556</v>
      </c>
      <c r="I13" s="2">
        <f>IF(UNOS!K19,KALKULATOR!B206,0)</f>
        <v>0</v>
      </c>
      <c r="J13" s="2">
        <f>IF(UNOS!K20,KALKULATOR!B226,0)</f>
        <v>537.62885444486892</v>
      </c>
      <c r="K13" s="2">
        <f>IF(UNOS!K21,KALKULATOR!B274,0)</f>
        <v>0</v>
      </c>
      <c r="L13" s="2">
        <f>IF(UNOS!K22,KALKULATOR!B301,0)</f>
        <v>0</v>
      </c>
      <c r="M13" s="380" t="s">
        <v>199</v>
      </c>
    </row>
    <row r="14" spans="1:23" ht="23.4">
      <c r="B14" s="375" t="s">
        <v>250</v>
      </c>
      <c r="C14" s="376"/>
      <c r="D14" s="381"/>
      <c r="E14" s="381"/>
      <c r="F14" s="381"/>
      <c r="G14" s="381"/>
      <c r="H14" s="381"/>
      <c r="I14" s="381"/>
      <c r="J14" s="381"/>
      <c r="K14" s="381"/>
      <c r="L14" s="381"/>
      <c r="M14" s="382"/>
      <c r="W14" s="6"/>
    </row>
    <row r="15" spans="1:23" ht="18.600000000000001" thickBot="1">
      <c r="B15" s="378" t="s">
        <v>422</v>
      </c>
      <c r="C15" s="1">
        <f>SUM(D15:L15)</f>
        <v>27240.688417143341</v>
      </c>
      <c r="D15" s="2">
        <f>IF(UNOS!K14,KALKULATOR!B96,0)</f>
        <v>20485.783420955795</v>
      </c>
      <c r="E15" s="2">
        <f>IF(UNOS!K15,KALKULATOR!B128+KALKULATOR!C128+KALKULATOR!D128,0)</f>
        <v>0</v>
      </c>
      <c r="F15" s="2">
        <f>IF(UNOS!K16,KALKULATOR!E128+KALKULATOR!F128,0)</f>
        <v>22083.39266912852</v>
      </c>
      <c r="G15" s="2">
        <f>IF(UNOS!K17,KALKULATOR!B171,0)</f>
        <v>0</v>
      </c>
      <c r="H15" s="2">
        <f>IF(UNOS!K18,KALKULATOR!B189,0)</f>
        <v>-18769.312341388133</v>
      </c>
      <c r="I15" s="2">
        <f>IF(UNOS!K19,KALKULATOR!B208,0)</f>
        <v>0</v>
      </c>
      <c r="J15" s="2">
        <f>IF(UNOS!K20,KALKULATOR!B228,0)</f>
        <v>3440.8246684471596</v>
      </c>
      <c r="K15" s="2">
        <f>IF(UNOS!K21,KALKULATOR!B278,0)</f>
        <v>0</v>
      </c>
      <c r="L15" s="2">
        <f>IF(UNOS!K22,KALKULATOR!B305,0)</f>
        <v>0</v>
      </c>
      <c r="M15" s="380" t="s">
        <v>203</v>
      </c>
    </row>
    <row r="16" spans="1:23" ht="27">
      <c r="B16" s="375" t="s">
        <v>251</v>
      </c>
      <c r="C16" s="376"/>
      <c r="D16" s="381"/>
      <c r="E16" s="381"/>
      <c r="F16" s="381"/>
      <c r="G16" s="381"/>
      <c r="H16" s="381"/>
      <c r="I16" s="381"/>
      <c r="J16" s="381"/>
      <c r="K16" s="381"/>
      <c r="L16" s="381"/>
      <c r="M16" s="382"/>
      <c r="W16" s="6"/>
    </row>
    <row r="17" spans="2:23" ht="18.600000000000001" thickBot="1">
      <c r="B17" s="378" t="s">
        <v>423</v>
      </c>
      <c r="C17" s="1">
        <f>SUM(D17:L17)</f>
        <v>0</v>
      </c>
      <c r="D17" s="2">
        <f>IF(UNOS!K14,KALKULATOR!B97,0)</f>
        <v>0</v>
      </c>
      <c r="E17" s="2">
        <f>IF(UNOS!K15,KALKULATOR!B129+KALKULATOR!C129+KALKULATOR!D129,0)</f>
        <v>0</v>
      </c>
      <c r="F17" s="2">
        <f>IF(UNOS!K16,KALKULATOR!E129+KALKULATOR!F129,0)</f>
        <v>0</v>
      </c>
      <c r="G17" s="2">
        <f>IF(UNOS!K17,KALKULATOR!B172,0)</f>
        <v>0</v>
      </c>
      <c r="H17" s="2">
        <f>IF(UNOS!K18,KALKULATOR!B190,0)</f>
        <v>0</v>
      </c>
      <c r="I17" s="2">
        <f>IF(UNOS!K19,KALKULATOR!B209,0)</f>
        <v>0</v>
      </c>
      <c r="J17" s="2">
        <f>IF(UNOS!K20,KALKULATOR!B229,0)</f>
        <v>0</v>
      </c>
      <c r="K17" s="2">
        <f>IF(UNOS!K21,KALKULATOR!B281,0)</f>
        <v>0</v>
      </c>
      <c r="L17" s="2">
        <f>IF(UNOS!K22,KALKULATOR!B308,0)</f>
        <v>0</v>
      </c>
      <c r="M17" s="380" t="s">
        <v>204</v>
      </c>
    </row>
    <row r="18" spans="2:23" ht="23.4">
      <c r="B18" s="375" t="s">
        <v>388</v>
      </c>
      <c r="C18" s="376"/>
      <c r="D18" s="383"/>
      <c r="E18" s="383"/>
      <c r="F18" s="383"/>
      <c r="G18" s="383"/>
      <c r="H18" s="383"/>
      <c r="I18" s="383"/>
      <c r="J18" s="383"/>
      <c r="K18" s="383"/>
      <c r="L18" s="383"/>
      <c r="M18" s="382"/>
      <c r="W18" s="6"/>
    </row>
    <row r="19" spans="2:23" ht="21" thickBot="1">
      <c r="B19" s="378" t="s">
        <v>252</v>
      </c>
      <c r="C19" s="1">
        <f>SUM(D19:L19)</f>
        <v>0</v>
      </c>
      <c r="D19" s="379" t="s">
        <v>2</v>
      </c>
      <c r="E19" s="379" t="s">
        <v>2</v>
      </c>
      <c r="F19" s="379" t="s">
        <v>2</v>
      </c>
      <c r="G19" s="379" t="s">
        <v>2</v>
      </c>
      <c r="H19" s="2">
        <f>KALKULATOR!B191</f>
        <v>0</v>
      </c>
      <c r="I19" s="379" t="s">
        <v>2</v>
      </c>
      <c r="J19" s="379" t="s">
        <v>2</v>
      </c>
      <c r="K19" s="2">
        <f>IF(UNOS!K21,KALKULATOR!B282,0)</f>
        <v>0</v>
      </c>
      <c r="L19" s="2">
        <f>IF(UNOS!K22,KALKULATOR!B309,0)</f>
        <v>0</v>
      </c>
      <c r="M19" s="380" t="s">
        <v>481</v>
      </c>
    </row>
    <row r="20" spans="2:23" ht="23.4">
      <c r="B20" s="375" t="s">
        <v>420</v>
      </c>
      <c r="C20" s="376"/>
      <c r="D20" s="383"/>
      <c r="E20" s="383"/>
      <c r="F20" s="383"/>
      <c r="G20" s="383"/>
      <c r="H20" s="383"/>
      <c r="I20" s="383"/>
      <c r="J20" s="383"/>
      <c r="K20" s="383"/>
      <c r="L20" s="383"/>
      <c r="M20" s="382"/>
      <c r="W20" s="6"/>
    </row>
    <row r="21" spans="2:23" ht="21" thickBot="1">
      <c r="B21" s="378" t="s">
        <v>421</v>
      </c>
      <c r="C21" s="1">
        <f>SUM(D21:L21)</f>
        <v>16</v>
      </c>
      <c r="D21" s="379" t="s">
        <v>2</v>
      </c>
      <c r="E21" s="379" t="s">
        <v>2</v>
      </c>
      <c r="F21" s="379" t="s">
        <v>2</v>
      </c>
      <c r="G21" s="379" t="s">
        <v>2</v>
      </c>
      <c r="H21" s="2">
        <f>IF(UNOS!K18,UNOS!C131,0)</f>
        <v>16</v>
      </c>
      <c r="I21" s="379" t="s">
        <v>2</v>
      </c>
      <c r="J21" s="379" t="s">
        <v>2</v>
      </c>
      <c r="K21" s="3">
        <f>IF(UNOS!K21,KALKULATOR!B263,0)</f>
        <v>0</v>
      </c>
      <c r="L21" s="3">
        <f>IF(UNOS!K22,KALKULATOR!B292,0)</f>
        <v>0</v>
      </c>
      <c r="M21" s="380" t="s">
        <v>387</v>
      </c>
    </row>
    <row r="22" spans="2:23" ht="23.4">
      <c r="B22" s="375" t="s">
        <v>386</v>
      </c>
      <c r="C22" s="376"/>
      <c r="D22" s="383"/>
      <c r="E22" s="383"/>
      <c r="F22" s="383"/>
      <c r="G22" s="383"/>
      <c r="H22" s="383"/>
      <c r="I22" s="383"/>
      <c r="J22" s="383"/>
      <c r="K22" s="383"/>
      <c r="L22" s="383"/>
      <c r="M22" s="382"/>
    </row>
    <row r="23" spans="2:23" ht="18.600000000000001" thickBot="1">
      <c r="B23" s="378" t="s">
        <v>398</v>
      </c>
      <c r="C23" s="1">
        <f>SUM(D23:L23)</f>
        <v>1150000</v>
      </c>
      <c r="D23" s="2">
        <f>IF(UNOS!K14,IF(D25&gt;0,UNOS!C73,0),0)</f>
        <v>350000</v>
      </c>
      <c r="E23" s="2">
        <f>IF(UNOS!K15,UNOS!K124,0)</f>
        <v>0</v>
      </c>
      <c r="F23" s="2">
        <f>IF(UNOS!K16,UNOS!L124,0)</f>
        <v>550000</v>
      </c>
      <c r="G23" s="2">
        <f>IF(UNOS!K17,UNOS!C127,0)</f>
        <v>0</v>
      </c>
      <c r="H23" s="2">
        <f>IF(UNOS!K18,UNOS!C127,0)</f>
        <v>250000</v>
      </c>
      <c r="I23" s="2">
        <f>IF(UNOS!K19,UNOS!C127,0)</f>
        <v>0</v>
      </c>
      <c r="J23" s="2">
        <f>IF(UNOS!K20,UNOS!C149,0)</f>
        <v>0</v>
      </c>
      <c r="K23" s="2">
        <f>IF(UNOS!K21,UNOS!C173,0)</f>
        <v>0</v>
      </c>
      <c r="L23" s="2">
        <f>IF(UNOS!K22,UNOS!C186,0)</f>
        <v>0</v>
      </c>
      <c r="M23" s="380" t="s">
        <v>399</v>
      </c>
    </row>
    <row r="24" spans="2:23" ht="23.4">
      <c r="B24" s="375" t="s">
        <v>394</v>
      </c>
      <c r="C24" s="376"/>
      <c r="D24" s="383" t="s">
        <v>402</v>
      </c>
      <c r="E24" s="383" t="s">
        <v>402</v>
      </c>
      <c r="F24" s="383" t="s">
        <v>402</v>
      </c>
      <c r="G24" s="383" t="s">
        <v>1</v>
      </c>
      <c r="H24" s="383" t="s">
        <v>1</v>
      </c>
      <c r="I24" s="383" t="s">
        <v>1</v>
      </c>
      <c r="J24" s="383" t="s">
        <v>1</v>
      </c>
      <c r="K24" s="383" t="s">
        <v>1</v>
      </c>
      <c r="L24" s="383" t="s">
        <v>403</v>
      </c>
      <c r="M24" s="382"/>
      <c r="W24" s="6"/>
    </row>
    <row r="25" spans="2:23" ht="20.399999999999999" thickBot="1">
      <c r="B25" s="378" t="s">
        <v>396</v>
      </c>
      <c r="C25" s="384" t="s">
        <v>2</v>
      </c>
      <c r="D25" s="2">
        <f>IF(UNOS!K14,UNOS!F60+UNOS!F69,0)</f>
        <v>22</v>
      </c>
      <c r="E25" s="2">
        <f>IF(UNOS!K15,UNOS!E119+UNOS!F119+UNOS!G119,0)</f>
        <v>0</v>
      </c>
      <c r="F25" s="2">
        <f>IF(UNOS!K16,UNOS!H119+UNOS!I119,0)</f>
        <v>90</v>
      </c>
      <c r="G25" s="2">
        <f>IF(UNOS!K17,UNOS!C131,0)</f>
        <v>0</v>
      </c>
      <c r="H25" s="2">
        <f>IF(UNOS!K18,UNOS!C131,0)</f>
        <v>16</v>
      </c>
      <c r="I25" s="2">
        <f>IF(UNOS!K19,UNOS!C131,0)</f>
        <v>0</v>
      </c>
      <c r="J25" s="2">
        <f>IF(UNOS!K20,MAX(G25:I25),0)</f>
        <v>16</v>
      </c>
      <c r="K25" s="3">
        <f>IF(UNOS!K21,KALKULATOR!B263,0)</f>
        <v>0</v>
      </c>
      <c r="L25" s="3">
        <f>IF(UNOS!K22,KALKULATOR!B292,0)</f>
        <v>0</v>
      </c>
      <c r="M25" s="380" t="s">
        <v>397</v>
      </c>
    </row>
    <row r="26" spans="2:23" ht="23.4">
      <c r="B26" s="375" t="s">
        <v>400</v>
      </c>
      <c r="C26" s="376"/>
      <c r="D26" s="4" t="str">
        <f>CONCATENATE("рсд/",D24)</f>
        <v>рсд/m2</v>
      </c>
      <c r="E26" s="4" t="str">
        <f t="shared" ref="E26:L26" si="0">CONCATENATE("рсд/",E24)</f>
        <v>рсд/m2</v>
      </c>
      <c r="F26" s="4" t="str">
        <f t="shared" si="0"/>
        <v>рсд/m2</v>
      </c>
      <c r="G26" s="4" t="str">
        <f t="shared" si="0"/>
        <v>рсд/kW</v>
      </c>
      <c r="H26" s="4" t="str">
        <f t="shared" si="0"/>
        <v>рсд/kW</v>
      </c>
      <c r="I26" s="4" t="str">
        <f t="shared" si="0"/>
        <v>рсд/kW</v>
      </c>
      <c r="J26" s="4" t="str">
        <f t="shared" si="0"/>
        <v>рсд/kW</v>
      </c>
      <c r="K26" s="4" t="str">
        <f t="shared" si="0"/>
        <v>рсд/kW</v>
      </c>
      <c r="L26" s="4" t="str">
        <f t="shared" si="0"/>
        <v>рсд/kWp</v>
      </c>
      <c r="M26" s="382"/>
    </row>
    <row r="27" spans="2:23" ht="20.399999999999999" thickBot="1">
      <c r="B27" s="378" t="s">
        <v>401</v>
      </c>
      <c r="C27" s="384" t="s">
        <v>2</v>
      </c>
      <c r="D27" s="5">
        <f>IF(D25=0,0,D23/D25)</f>
        <v>15909.09090909091</v>
      </c>
      <c r="E27" s="5">
        <f t="shared" ref="E27:L27" si="1">IF(E25=0,0,E23/E25)</f>
        <v>0</v>
      </c>
      <c r="F27" s="5">
        <f t="shared" si="1"/>
        <v>6111.1111111111113</v>
      </c>
      <c r="G27" s="5">
        <f t="shared" si="1"/>
        <v>0</v>
      </c>
      <c r="H27" s="5">
        <f t="shared" si="1"/>
        <v>15625</v>
      </c>
      <c r="I27" s="5">
        <f t="shared" si="1"/>
        <v>0</v>
      </c>
      <c r="J27" s="5">
        <f t="shared" si="1"/>
        <v>0</v>
      </c>
      <c r="K27" s="5">
        <f t="shared" si="1"/>
        <v>0</v>
      </c>
      <c r="L27" s="5">
        <f t="shared" si="1"/>
        <v>0</v>
      </c>
      <c r="M27" s="380" t="s">
        <v>405</v>
      </c>
    </row>
    <row r="32" spans="2:23">
      <c r="C32" s="8"/>
    </row>
  </sheetData>
  <sheetProtection selectLockedCells="1"/>
  <mergeCells count="1">
    <mergeCell ref="D7:L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ENERGETSKI KALKULATOR</vt:lpstr>
      <vt:lpstr>KALKULATOR</vt:lpstr>
      <vt:lpstr>UPUTSTVO</vt:lpstr>
      <vt:lpstr>SMERNICE PRI IZBORU MERA</vt:lpstr>
      <vt:lpstr>O KALKULATORU</vt:lpstr>
      <vt:lpstr>UNOS</vt:lpstr>
      <vt:lpstr>USTEDA</vt:lpstr>
      <vt:lpstr>'ENERGETSKI KALKULATOR'!Print_Area</vt:lpstr>
      <vt:lpstr>UNOS!Print_Area</vt:lpstr>
    </vt:vector>
  </TitlesOfParts>
  <Manager>Živojin Stuparević</Manager>
  <Company>MRE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VODIČ ZA IZBOR MERA ENERGETSKE SANACIJE</dc:title>
  <dc:creator>Sava Stuparevic;Živojin Stuparević</dc:creator>
  <cp:keywords>ONE STOP SHOP</cp:keywords>
  <dc:description>24.09.24 - uklonjen format "hiden" za ćelije koje se popunjavaju</dc:description>
  <cp:lastModifiedBy>Živojin Stuparević</cp:lastModifiedBy>
  <cp:lastPrinted>2023-09-26T12:36:48Z</cp:lastPrinted>
  <dcterms:created xsi:type="dcterms:W3CDTF">2023-06-05T14:49:33Z</dcterms:created>
  <dcterms:modified xsi:type="dcterms:W3CDTF">2024-11-15T11:02:28Z</dcterms:modified>
  <cp:version>DRAFT</cp:version>
</cp:coreProperties>
</file>